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h-fil-001\lab\NIBU\NIBU_Projects\Active Projects\Blackbird 2\Marketing\MU Calc\"/>
    </mc:Choice>
  </mc:AlternateContent>
  <bookViews>
    <workbookView xWindow="120" yWindow="105" windowWidth="15030" windowHeight="8115"/>
  </bookViews>
  <sheets>
    <sheet name="MU Calculator" sheetId="3" r:id="rId1"/>
    <sheet name="BB1_Data" sheetId="5" state="hidden" r:id="rId2"/>
    <sheet name="BB2_Data" sheetId="6" state="hidden" r:id="rId3"/>
  </sheets>
  <definedNames>
    <definedName name="_xlnm._FilterDatabase" localSheetId="1" hidden="1">BB1_Data!#REF!</definedName>
    <definedName name="_xlnm._FilterDatabase" localSheetId="2" hidden="1">BB2_Data!#REF!</definedName>
    <definedName name="Aperture">'MU Calculator'!$B$15</definedName>
    <definedName name="Average">'MU Calculator'!$B$14</definedName>
    <definedName name="Enhmod">'MU Calculator'!$B$17</definedName>
    <definedName name="Freq">'MU Calculator'!$B$10</definedName>
    <definedName name="ModNum">'MU Calculator'!$B$5</definedName>
    <definedName name="Power">'MU Calculator'!$B$9</definedName>
    <definedName name="Temp">'MU Calculator'!$B$18</definedName>
  </definedNames>
  <calcPr calcId="152511"/>
</workbook>
</file>

<file path=xl/calcChain.xml><?xml version="1.0" encoding="utf-8"?>
<calcChain xmlns="http://schemas.openxmlformats.org/spreadsheetml/2006/main">
  <c r="I14" i="5" l="1"/>
  <c r="I13" i="5"/>
  <c r="A6" i="6" l="1"/>
  <c r="G6" i="6" s="1"/>
  <c r="S54" i="6" l="1"/>
  <c r="S55" i="6" s="1"/>
  <c r="S56" i="6" s="1"/>
  <c r="S57" i="6" s="1"/>
  <c r="S44" i="6"/>
  <c r="S45" i="6" s="1"/>
  <c r="S46" i="6" s="1"/>
  <c r="S47" i="6" s="1"/>
  <c r="S48" i="6" s="1"/>
  <c r="S49" i="6" s="1"/>
  <c r="S50" i="6" s="1"/>
  <c r="S51" i="6" s="1"/>
  <c r="S52" i="6" s="1"/>
  <c r="S53" i="6" s="1"/>
  <c r="S12" i="6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11" i="6"/>
  <c r="S10" i="6"/>
  <c r="S9" i="6"/>
  <c r="I10" i="5"/>
  <c r="L7" i="6"/>
  <c r="L16" i="6"/>
  <c r="L15" i="6"/>
  <c r="L14" i="6"/>
  <c r="N16" i="6"/>
  <c r="N15" i="6"/>
  <c r="N14" i="6"/>
  <c r="L28" i="6"/>
  <c r="L27" i="6"/>
  <c r="L26" i="6"/>
  <c r="N28" i="6"/>
  <c r="N27" i="6"/>
  <c r="N26" i="6"/>
  <c r="L41" i="6"/>
  <c r="E38" i="6" s="1"/>
  <c r="L29" i="6"/>
  <c r="L17" i="6"/>
  <c r="L40" i="6"/>
  <c r="L39" i="6"/>
  <c r="L38" i="6"/>
  <c r="N40" i="6"/>
  <c r="N39" i="6"/>
  <c r="N38" i="6"/>
  <c r="A40" i="6"/>
  <c r="C39" i="6"/>
  <c r="A39" i="6"/>
  <c r="C38" i="6"/>
  <c r="A28" i="6"/>
  <c r="C27" i="6"/>
  <c r="A27" i="6"/>
  <c r="C26" i="6"/>
  <c r="A16" i="6"/>
  <c r="C15" i="6"/>
  <c r="A15" i="6"/>
  <c r="C14" i="6"/>
  <c r="F57" i="6"/>
  <c r="G57" i="6" s="1"/>
  <c r="F56" i="6"/>
  <c r="G56" i="6" s="1"/>
  <c r="F55" i="6"/>
  <c r="G55" i="6" s="1"/>
  <c r="F54" i="6"/>
  <c r="G54" i="6" s="1"/>
  <c r="I6" i="5"/>
  <c r="I5" i="5"/>
  <c r="I4" i="5"/>
  <c r="I3" i="5"/>
  <c r="I20" i="5"/>
  <c r="I23" i="5"/>
  <c r="F53" i="6"/>
  <c r="G53" i="6" s="1"/>
  <c r="F52" i="6"/>
  <c r="G52" i="6" s="1"/>
  <c r="F51" i="6"/>
  <c r="G51" i="6" s="1"/>
  <c r="A50" i="6"/>
  <c r="F50" i="6" s="1"/>
  <c r="G50" i="6" s="1"/>
  <c r="C44" i="6"/>
  <c r="C40" i="6"/>
  <c r="A38" i="6"/>
  <c r="C32" i="6"/>
  <c r="C28" i="6"/>
  <c r="A26" i="6"/>
  <c r="C20" i="6"/>
  <c r="C16" i="6"/>
  <c r="A14" i="6"/>
  <c r="A3" i="6"/>
  <c r="E27" i="6" l="1"/>
  <c r="E28" i="6"/>
  <c r="E26" i="6"/>
  <c r="F26" i="6" s="1"/>
  <c r="G26" i="6" s="1"/>
  <c r="C59" i="6"/>
  <c r="C60" i="6" s="1"/>
  <c r="F27" i="6"/>
  <c r="G27" i="6" s="1"/>
  <c r="F15" i="6"/>
  <c r="G15" i="6" s="1"/>
  <c r="F38" i="6"/>
  <c r="G38" i="6" s="1"/>
  <c r="F14" i="6"/>
  <c r="G14" i="6" s="1"/>
  <c r="F28" i="6"/>
  <c r="G28" i="6" s="1"/>
  <c r="E40" i="6"/>
  <c r="F40" i="6" s="1"/>
  <c r="G40" i="6" s="1"/>
  <c r="E39" i="6"/>
  <c r="F39" i="6" s="1"/>
  <c r="G39" i="6" s="1"/>
  <c r="I2" i="5"/>
  <c r="F16" i="6" l="1"/>
  <c r="G16" i="6" s="1"/>
  <c r="C19" i="6" s="1"/>
  <c r="C21" i="6" s="1"/>
  <c r="E4" i="6"/>
  <c r="F4" i="6" s="1"/>
  <c r="G4" i="6" s="1"/>
  <c r="E3" i="6"/>
  <c r="F3" i="6" s="1"/>
  <c r="G3" i="6" s="1"/>
  <c r="C31" i="6"/>
  <c r="C33" i="6" s="1"/>
  <c r="C43" i="6"/>
  <c r="C45" i="6" s="1"/>
  <c r="L41" i="5"/>
  <c r="E39" i="5" s="1"/>
  <c r="L29" i="5"/>
  <c r="E28" i="5" s="1"/>
  <c r="L17" i="5"/>
  <c r="E16" i="5" s="1"/>
  <c r="C50" i="5"/>
  <c r="C38" i="5"/>
  <c r="C26" i="5"/>
  <c r="C14" i="5"/>
  <c r="C15" i="5"/>
  <c r="C27" i="5"/>
  <c r="C39" i="5"/>
  <c r="C51" i="5"/>
  <c r="A52" i="5"/>
  <c r="A40" i="5"/>
  <c r="A28" i="5"/>
  <c r="A51" i="5"/>
  <c r="A39" i="5"/>
  <c r="A27" i="5"/>
  <c r="A16" i="5"/>
  <c r="A15" i="5"/>
  <c r="C8" i="6" l="1"/>
  <c r="C9" i="6"/>
  <c r="L7" i="5"/>
  <c r="E6" i="5" s="1"/>
  <c r="E40" i="5"/>
  <c r="E38" i="5"/>
  <c r="E26" i="5"/>
  <c r="E27" i="5"/>
  <c r="E14" i="5"/>
  <c r="E15" i="5"/>
  <c r="C52" i="5"/>
  <c r="A50" i="5"/>
  <c r="E4" i="5" l="1"/>
  <c r="E3" i="5"/>
  <c r="E5" i="5"/>
  <c r="A38" i="5"/>
  <c r="C40" i="5"/>
  <c r="C28" i="5"/>
  <c r="A26" i="5"/>
  <c r="A61" i="5"/>
  <c r="C16" i="5"/>
  <c r="A14" i="5"/>
  <c r="A3" i="5"/>
  <c r="F6" i="5" l="1"/>
  <c r="G6" i="5" s="1"/>
  <c r="F5" i="5"/>
  <c r="G5" i="5" s="1"/>
  <c r="F52" i="5" l="1"/>
  <c r="G52" i="5" s="1"/>
  <c r="F61" i="5" l="1"/>
  <c r="G61" i="5" s="1"/>
  <c r="F64" i="5"/>
  <c r="G64" i="5" s="1"/>
  <c r="F4" i="5" l="1"/>
  <c r="G4" i="5" s="1"/>
  <c r="F3" i="5"/>
  <c r="F63" i="5"/>
  <c r="F51" i="5"/>
  <c r="F50" i="5"/>
  <c r="F40" i="5"/>
  <c r="F39" i="5"/>
  <c r="F38" i="5"/>
  <c r="F28" i="5"/>
  <c r="F27" i="5"/>
  <c r="F26" i="5"/>
  <c r="F16" i="5"/>
  <c r="F15" i="5"/>
  <c r="F14" i="5"/>
  <c r="F62" i="5" l="1"/>
  <c r="G40" i="5"/>
  <c r="G14" i="5"/>
  <c r="C20" i="5"/>
  <c r="G27" i="5"/>
  <c r="C32" i="5"/>
  <c r="C44" i="5"/>
  <c r="E25" i="3"/>
  <c r="E29" i="3"/>
  <c r="E27" i="3"/>
  <c r="G39" i="5" l="1"/>
  <c r="G62" i="5"/>
  <c r="G50" i="5"/>
  <c r="G3" i="5"/>
  <c r="C8" i="5" s="1"/>
  <c r="G38" i="5"/>
  <c r="G51" i="5"/>
  <c r="G26" i="5"/>
  <c r="G15" i="5"/>
  <c r="G16" i="5"/>
  <c r="G28" i="5"/>
  <c r="G63" i="5"/>
  <c r="C66" i="5" l="1"/>
  <c r="C19" i="5"/>
  <c r="C31" i="5"/>
  <c r="C43" i="5"/>
  <c r="C45" i="5" s="1"/>
  <c r="C26" i="3" s="1"/>
  <c r="C55" i="5"/>
  <c r="F26" i="3" l="1"/>
  <c r="C9" i="5"/>
  <c r="C23" i="3" s="1"/>
  <c r="C33" i="5"/>
  <c r="C25" i="3" s="1"/>
  <c r="C56" i="5"/>
  <c r="C27" i="3" s="1"/>
  <c r="F27" i="3" s="1"/>
  <c r="C21" i="5"/>
  <c r="C24" i="3" s="1"/>
  <c r="C67" i="5"/>
  <c r="B6" i="3" s="1"/>
  <c r="F24" i="3" l="1"/>
  <c r="F25" i="3"/>
  <c r="F23" i="3"/>
  <c r="C29" i="3"/>
  <c r="F29" i="3" s="1"/>
  <c r="F32" i="3" l="1"/>
  <c r="F33" i="3" s="1"/>
  <c r="F35" i="3" s="1"/>
  <c r="F34" i="3" l="1"/>
</calcChain>
</file>

<file path=xl/sharedStrings.xml><?xml version="1.0" encoding="utf-8"?>
<sst xmlns="http://schemas.openxmlformats.org/spreadsheetml/2006/main" count="340" uniqueCount="116">
  <si>
    <t>Noise</t>
  </si>
  <si>
    <t>Probability Distribution</t>
  </si>
  <si>
    <t>Rectangular</t>
  </si>
  <si>
    <t>Normal</t>
  </si>
  <si>
    <t>VSWR</t>
  </si>
  <si>
    <t>Averaging</t>
  </si>
  <si>
    <t>Power (W)</t>
  </si>
  <si>
    <t>Zero Drift</t>
  </si>
  <si>
    <t>CW</t>
  </si>
  <si>
    <t>Signal Type</t>
  </si>
  <si>
    <t>Power Sensor</t>
  </si>
  <si>
    <t xml:space="preserve">Zero Set </t>
  </si>
  <si>
    <t>Sensor VSWR</t>
  </si>
  <si>
    <t>Divisor</t>
  </si>
  <si>
    <t>Uncertainty Type</t>
  </si>
  <si>
    <t>Type B</t>
  </si>
  <si>
    <t>Coverage Factor (K)</t>
  </si>
  <si>
    <t>Mismatch between Sensor and DUT</t>
  </si>
  <si>
    <t>±</t>
  </si>
  <si>
    <t>Device Under Test (DUT)</t>
  </si>
  <si>
    <t xml:space="preserve">Root_Sum_Squared </t>
  </si>
  <si>
    <t>(dB)</t>
  </si>
  <si>
    <t>Freq1</t>
  </si>
  <si>
    <t>Freq2</t>
  </si>
  <si>
    <t>Power1</t>
  </si>
  <si>
    <t>Power2</t>
  </si>
  <si>
    <t>(W)</t>
  </si>
  <si>
    <t>Averages Max</t>
  </si>
  <si>
    <t>Zero Set (%)</t>
  </si>
  <si>
    <t>Zero Drift (%)</t>
  </si>
  <si>
    <t>Inc?</t>
  </si>
  <si>
    <t>y</t>
  </si>
  <si>
    <t>n</t>
  </si>
  <si>
    <t>Measurement Settings</t>
  </si>
  <si>
    <t>Measurement Uncertainty</t>
  </si>
  <si>
    <t>Combined Uncertainty (%)</t>
  </si>
  <si>
    <t>Expanded Uncertainty (%)</t>
  </si>
  <si>
    <t>Expanded Uncertainty (dB)</t>
  </si>
  <si>
    <t>RL Spec (dB)</t>
  </si>
  <si>
    <t xml:space="preserve">Noise </t>
  </si>
  <si>
    <t xml:space="preserve">Zero Drift </t>
  </si>
  <si>
    <t>Enahnced Modulation</t>
  </si>
  <si>
    <t>Model</t>
  </si>
  <si>
    <t>Signal Type (CW / Digital Mod)</t>
  </si>
  <si>
    <t>Measured Power Level (dBm)</t>
  </si>
  <si>
    <t>Measured Frequency (GHz)</t>
  </si>
  <si>
    <t>USB Power Sensor</t>
  </si>
  <si>
    <t>Aperture Time (mS)</t>
  </si>
  <si>
    <t>Power Max (dBm)</t>
  </si>
  <si>
    <t>Frequency Max (GHz)</t>
  </si>
  <si>
    <t>Ambient Temperature (°C)</t>
  </si>
  <si>
    <t>Aperture Max (mS)</t>
  </si>
  <si>
    <t>Noise Spec (%)</t>
  </si>
  <si>
    <t>Linearity and Cal Factor</t>
  </si>
  <si>
    <t>Standard Uncertainty (%)</t>
  </si>
  <si>
    <t>Spec</t>
  </si>
  <si>
    <t xml:space="preserve">Final Spec </t>
  </si>
  <si>
    <t>Lin &amp; CF (dB)</t>
  </si>
  <si>
    <t>Lin &amp; CF (%)</t>
  </si>
  <si>
    <t>Dig Mod Eff (dB)</t>
  </si>
  <si>
    <t>Dig Mod Eff (%)</t>
  </si>
  <si>
    <t>Dig Mod Effect</t>
  </si>
  <si>
    <t>Digital Modulation Effect</t>
  </si>
  <si>
    <t>ADC sampling speed (kSps)</t>
  </si>
  <si>
    <t>Upper limit</t>
  </si>
  <si>
    <t>Lower limit</t>
  </si>
  <si>
    <r>
      <t>Value (</t>
    </r>
    <r>
      <rPr>
        <sz val="10"/>
        <rFont val="Calibri"/>
        <family val="2"/>
      </rPr>
      <t>±</t>
    </r>
    <r>
      <rPr>
        <sz val="10"/>
        <rFont val="Arial"/>
        <family val="2"/>
      </rPr>
      <t>%)</t>
    </r>
  </si>
  <si>
    <t xml:space="preserve">Zero Set (W) </t>
  </si>
  <si>
    <t xml:space="preserve">2σ Zero Drift (W) </t>
  </si>
  <si>
    <t>Sources of Uncertainty</t>
  </si>
  <si>
    <t>Enhanced Modulation (Enabled / Disabled)</t>
  </si>
  <si>
    <t>Power Min (dBm)</t>
  </si>
  <si>
    <t>Frequency Min (GHz)</t>
  </si>
  <si>
    <t>Aperture Min (mS)</t>
  </si>
  <si>
    <t>LP_MP Crossover with Enh Mod Disabled (dBm)</t>
  </si>
  <si>
    <t>MP_HP Crossover with Enh Mod Disabled (dBm)</t>
  </si>
  <si>
    <t>LP_MP Crossover with Enh Mod Enabled (dBm)</t>
  </si>
  <si>
    <t>MP_HP Crossover with Enh Mod Enabled (dBm)</t>
  </si>
  <si>
    <t>Temperature Min  (°C)</t>
  </si>
  <si>
    <t>F1</t>
  </si>
  <si>
    <t>F2</t>
  </si>
  <si>
    <t>F3</t>
  </si>
  <si>
    <t>F4</t>
  </si>
  <si>
    <t>0-50C_HP</t>
  </si>
  <si>
    <t>0-50C_MP</t>
  </si>
  <si>
    <t>0-50C_LP</t>
  </si>
  <si>
    <t>20-30C_HP</t>
  </si>
  <si>
    <t>20-30C_MP</t>
  </si>
  <si>
    <t>20-30C_LP</t>
  </si>
  <si>
    <t>Table offset</t>
  </si>
  <si>
    <t>R3</t>
  </si>
  <si>
    <t>R2</t>
  </si>
  <si>
    <t>R1</t>
  </si>
  <si>
    <t>Linear/CF</t>
  </si>
  <si>
    <t>Zero Set</t>
  </si>
  <si>
    <t>Linearity &amp; Cal Factor</t>
  </si>
  <si>
    <t>0-13C</t>
  </si>
  <si>
    <t>13-38C</t>
  </si>
  <si>
    <t>38-50C</t>
  </si>
  <si>
    <t>Anritsu MA242x8A/MA243x0A USB Power Sensor Measurement Uncertainty Calculator v1.0</t>
  </si>
  <si>
    <t>LP_MP Crossover (dBm)</t>
  </si>
  <si>
    <t>MP_HP Crossover (dBm)</t>
  </si>
  <si>
    <t>25-35C</t>
  </si>
  <si>
    <t>0-25C</t>
  </si>
  <si>
    <t>35-50C</t>
  </si>
  <si>
    <t>30-50C_MP</t>
  </si>
  <si>
    <t>30-50C_LP</t>
  </si>
  <si>
    <t>0-50C_+15dBm</t>
  </si>
  <si>
    <t>30-50C_+15dBm</t>
  </si>
  <si>
    <t>Freq (GHz)</t>
  </si>
  <si>
    <t>CF (%)</t>
  </si>
  <si>
    <t>Lin (%)</t>
  </si>
  <si>
    <t>MA24340A</t>
  </si>
  <si>
    <t/>
  </si>
  <si>
    <r>
      <t>2</t>
    </r>
    <r>
      <rPr>
        <b/>
        <sz val="10"/>
        <color theme="0"/>
        <rFont val="Calibri"/>
        <family val="2"/>
      </rPr>
      <t>σ</t>
    </r>
    <r>
      <rPr>
        <b/>
        <sz val="11.5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Noise Spec (W) without Avg</t>
    </r>
  </si>
  <si>
    <r>
      <t>Temperature Max (</t>
    </r>
    <r>
      <rPr>
        <sz val="10"/>
        <color theme="0"/>
        <rFont val="Calibri"/>
        <family val="2"/>
      </rPr>
      <t>°</t>
    </r>
    <r>
      <rPr>
        <sz val="10"/>
        <color theme="0"/>
        <rFont val="Arial"/>
        <family val="2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</si>
</sst>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##,###"/>
    <numFmt numFmtId="166" formatCode="0.000E+00"/>
    <numFmt numFmtId="167" formatCode="0.0000E+00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1.5"/>
      <color theme="0"/>
      <name val="Arial"/>
      <family val="2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applyFill="1"/>
    <xf numFmtId="0" fontId="2" fillId="2" borderId="1" xfId="0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3" borderId="6" xfId="0" applyFont="1" applyFill="1" applyBorder="1" applyProtection="1"/>
    <xf numFmtId="0" fontId="1" fillId="0" borderId="7" xfId="0" applyFont="1" applyBorder="1" applyAlignment="1" applyProtection="1">
      <alignment horizontal="left" indent="1"/>
    </xf>
    <xf numFmtId="0" fontId="0" fillId="0" borderId="0" xfId="0" applyBorder="1" applyProtection="1"/>
    <xf numFmtId="0" fontId="0" fillId="0" borderId="0" xfId="0" applyProtection="1"/>
    <xf numFmtId="0" fontId="1" fillId="0" borderId="8" xfId="0" applyFont="1" applyBorder="1" applyAlignment="1" applyProtection="1">
      <alignment horizontal="left" indent="1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 indent="1"/>
    </xf>
    <xf numFmtId="0" fontId="1" fillId="0" borderId="1" xfId="0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7" fillId="3" borderId="6" xfId="0" applyFont="1" applyFill="1" applyBorder="1" applyAlignment="1" applyProtection="1"/>
    <xf numFmtId="0" fontId="0" fillId="0" borderId="0" xfId="0" applyFill="1" applyBorder="1" applyAlignment="1" applyProtection="1"/>
    <xf numFmtId="2" fontId="0" fillId="0" borderId="3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indent="1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/>
    <xf numFmtId="0" fontId="0" fillId="0" borderId="13" xfId="0" applyBorder="1"/>
    <xf numFmtId="2" fontId="0" fillId="0" borderId="5" xfId="0" applyNumberForma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indent="1"/>
    </xf>
    <xf numFmtId="0" fontId="1" fillId="0" borderId="20" xfId="0" applyFont="1" applyFill="1" applyBorder="1" applyAlignment="1" applyProtection="1">
      <alignment horizontal="left"/>
    </xf>
    <xf numFmtId="0" fontId="1" fillId="0" borderId="2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Protection="1"/>
    <xf numFmtId="0" fontId="1" fillId="0" borderId="22" xfId="0" applyFont="1" applyBorder="1" applyAlignment="1" applyProtection="1">
      <alignment horizontal="left" indent="1"/>
    </xf>
    <xf numFmtId="0" fontId="1" fillId="0" borderId="23" xfId="0" applyFont="1" applyBorder="1" applyAlignment="1" applyProtection="1">
      <alignment horizontal="center"/>
    </xf>
    <xf numFmtId="2" fontId="1" fillId="0" borderId="23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0" fontId="3" fillId="0" borderId="0" xfId="0" applyFont="1" applyBorder="1"/>
    <xf numFmtId="0" fontId="4" fillId="0" borderId="0" xfId="0" applyFont="1" applyBorder="1"/>
    <xf numFmtId="0" fontId="1" fillId="0" borderId="13" xfId="0" applyFont="1" applyBorder="1" applyAlignment="1">
      <alignment horizontal="center"/>
    </xf>
    <xf numFmtId="2" fontId="1" fillId="4" borderId="11" xfId="0" applyNumberFormat="1" applyFont="1" applyFill="1" applyBorder="1" applyAlignment="1" applyProtection="1">
      <alignment horizontal="center"/>
    </xf>
    <xf numFmtId="2" fontId="1" fillId="4" borderId="23" xfId="0" applyNumberFormat="1" applyFont="1" applyFill="1" applyBorder="1" applyAlignment="1" applyProtection="1">
      <alignment horizontal="center"/>
    </xf>
    <xf numFmtId="2" fontId="1" fillId="4" borderId="9" xfId="0" applyNumberFormat="1" applyFont="1" applyFill="1" applyBorder="1" applyAlignment="1" applyProtection="1">
      <alignment horizontal="center"/>
    </xf>
    <xf numFmtId="0" fontId="11" fillId="0" borderId="0" xfId="0" applyFont="1" applyBorder="1"/>
    <xf numFmtId="0" fontId="10" fillId="0" borderId="0" xfId="0" applyFont="1" applyFill="1" applyBorder="1"/>
    <xf numFmtId="0" fontId="10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66" fontId="10" fillId="0" borderId="0" xfId="0" applyNumberFormat="1" applyFont="1" applyFill="1" applyBorder="1" applyAlignment="1">
      <alignment horizontal="center"/>
    </xf>
    <xf numFmtId="1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1" fontId="11" fillId="0" borderId="0" xfId="0" applyNumberFormat="1" applyFont="1" applyFill="1" applyBorder="1"/>
    <xf numFmtId="11" fontId="11" fillId="0" borderId="0" xfId="0" applyNumberFormat="1" applyFont="1" applyBorder="1"/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" fontId="10" fillId="0" borderId="0" xfId="0" quotePrefix="1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7" fontId="11" fillId="0" borderId="0" xfId="0" applyNumberFormat="1" applyFont="1" applyBorder="1"/>
    <xf numFmtId="166" fontId="11" fillId="0" borderId="0" xfId="0" applyNumberFormat="1" applyFont="1" applyBorder="1"/>
    <xf numFmtId="164" fontId="11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166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11" fontId="12" fillId="0" borderId="0" xfId="0" applyNumberFormat="1" applyFont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" fontId="10" fillId="0" borderId="0" xfId="0" quotePrefix="1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166" fontId="12" fillId="0" borderId="0" xfId="0" applyNumberFormat="1" applyFont="1" applyFill="1" applyBorder="1"/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</cellXfs>
  <cellStyles count="1">
    <cellStyle name="Normal" xfId="0" builtinId="0"/>
  </cellStyles>
  <dxfs count="2">
    <dxf>
      <font>
        <condense val="0"/>
        <extend val="0"/>
        <color indexed="52"/>
      </font>
    </dxf>
    <dxf>
      <font>
        <condense val="0"/>
        <extend val="0"/>
        <color indexed="5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15" zoomScaleNormal="115" workbookViewId="0">
      <selection activeCell="B5" sqref="B5"/>
    </sheetView>
  </sheetViews>
  <sheetFormatPr defaultRowHeight="12.75" x14ac:dyDescent="0.2"/>
  <cols>
    <col min="1" max="1" width="38.7109375" bestFit="1" customWidth="1"/>
    <col min="2" max="2" width="18.140625" customWidth="1"/>
    <col min="3" max="3" width="14.5703125" customWidth="1"/>
    <col min="4" max="4" width="21.5703125" customWidth="1"/>
    <col min="5" max="5" width="9.85546875" bestFit="1" customWidth="1"/>
    <col min="6" max="6" width="24.5703125" customWidth="1"/>
    <col min="10" max="10" width="21.5703125" customWidth="1"/>
  </cols>
  <sheetData>
    <row r="1" spans="1:6" ht="22.5" customHeight="1" thickBot="1" x14ac:dyDescent="0.25">
      <c r="A1" s="4"/>
      <c r="B1" s="5"/>
    </row>
    <row r="2" spans="1:6" ht="33" customHeight="1" thickBot="1" x14ac:dyDescent="0.25">
      <c r="A2" s="102" t="s">
        <v>99</v>
      </c>
      <c r="B2" s="103"/>
      <c r="C2" s="103"/>
      <c r="D2" s="103"/>
      <c r="E2" s="103"/>
      <c r="F2" s="104"/>
    </row>
    <row r="3" spans="1:6" ht="19.5" customHeight="1" thickBot="1" x14ac:dyDescent="0.25">
      <c r="A3" s="13"/>
      <c r="B3" s="13"/>
      <c r="C3" s="13"/>
      <c r="D3" s="13"/>
      <c r="E3" s="13"/>
      <c r="F3" s="13"/>
    </row>
    <row r="4" spans="1:6" ht="16.5" customHeight="1" thickBot="1" x14ac:dyDescent="0.3">
      <c r="A4" s="14" t="s">
        <v>10</v>
      </c>
      <c r="B4" s="13"/>
      <c r="C4" s="13"/>
      <c r="D4" s="13"/>
      <c r="E4" s="13"/>
      <c r="F4" s="13"/>
    </row>
    <row r="5" spans="1:6" ht="12.75" customHeight="1" x14ac:dyDescent="0.2">
      <c r="A5" s="15" t="s">
        <v>46</v>
      </c>
      <c r="B5" s="12" t="s">
        <v>112</v>
      </c>
      <c r="C5" s="16"/>
      <c r="D5" s="17"/>
      <c r="E5" s="17"/>
      <c r="F5" s="13"/>
    </row>
    <row r="6" spans="1:6" ht="12.75" customHeight="1" thickBot="1" x14ac:dyDescent="0.25">
      <c r="A6" s="18" t="s">
        <v>12</v>
      </c>
      <c r="B6" s="60">
        <f>IF(OR(B5="MA24208A",B5="MA24218A"),+BB1_Data!C67,+BB2_Data!C60)</f>
        <v>1.2100924475018835</v>
      </c>
      <c r="C6" s="19"/>
      <c r="D6" s="17"/>
      <c r="E6" s="17"/>
      <c r="F6" s="13"/>
    </row>
    <row r="7" spans="1:6" ht="15.75" customHeight="1" thickBot="1" x14ac:dyDescent="0.25">
      <c r="A7" s="20"/>
      <c r="B7" s="20"/>
      <c r="C7" s="17"/>
      <c r="D7" s="17"/>
      <c r="E7" s="17"/>
      <c r="F7" s="13"/>
    </row>
    <row r="8" spans="1:6" ht="16.5" customHeight="1" thickBot="1" x14ac:dyDescent="0.3">
      <c r="A8" s="14" t="s">
        <v>19</v>
      </c>
      <c r="B8" s="21"/>
      <c r="C8" s="16"/>
      <c r="D8" s="17"/>
      <c r="E8" s="13"/>
      <c r="F8" s="13"/>
    </row>
    <row r="9" spans="1:6" x14ac:dyDescent="0.2">
      <c r="A9" s="15" t="s">
        <v>44</v>
      </c>
      <c r="B9" s="12">
        <v>0</v>
      </c>
      <c r="C9" s="33"/>
      <c r="D9" s="17"/>
      <c r="E9" s="17"/>
      <c r="F9" s="17"/>
    </row>
    <row r="10" spans="1:6" x14ac:dyDescent="0.2">
      <c r="A10" s="26" t="s">
        <v>45</v>
      </c>
      <c r="B10" s="10">
        <v>7</v>
      </c>
      <c r="C10" s="33"/>
      <c r="D10" s="20"/>
      <c r="E10" s="20"/>
      <c r="F10" s="17"/>
    </row>
    <row r="11" spans="1:6" ht="13.5" thickBot="1" x14ac:dyDescent="0.25">
      <c r="A11" s="18" t="s">
        <v>4</v>
      </c>
      <c r="B11" s="11">
        <v>1.2</v>
      </c>
      <c r="C11" s="19"/>
      <c r="D11" s="20"/>
      <c r="E11" s="20"/>
      <c r="F11" s="17"/>
    </row>
    <row r="12" spans="1:6" ht="15.75" customHeight="1" thickBot="1" x14ac:dyDescent="0.25">
      <c r="A12" s="20"/>
      <c r="B12" s="20"/>
      <c r="C12" s="20"/>
      <c r="D12" s="17"/>
      <c r="E12" s="17"/>
      <c r="F12" s="17"/>
    </row>
    <row r="13" spans="1:6" ht="16.5" thickBot="1" x14ac:dyDescent="0.3">
      <c r="A13" s="14" t="s">
        <v>33</v>
      </c>
      <c r="B13" s="20"/>
      <c r="C13" s="20"/>
      <c r="D13" s="17"/>
      <c r="E13" s="17"/>
      <c r="F13" s="17"/>
    </row>
    <row r="14" spans="1:6" x14ac:dyDescent="0.2">
      <c r="A14" s="15" t="s">
        <v>5</v>
      </c>
      <c r="B14" s="9">
        <v>64</v>
      </c>
      <c r="C14" s="17"/>
      <c r="D14" s="17"/>
      <c r="E14" s="17"/>
      <c r="F14" s="17"/>
    </row>
    <row r="15" spans="1:6" x14ac:dyDescent="0.2">
      <c r="A15" s="26" t="s">
        <v>47</v>
      </c>
      <c r="B15" s="10">
        <v>20</v>
      </c>
      <c r="C15" s="17"/>
      <c r="D15" s="17"/>
      <c r="E15" s="17"/>
      <c r="F15" s="17"/>
    </row>
    <row r="16" spans="1:6" x14ac:dyDescent="0.2">
      <c r="A16" s="26" t="s">
        <v>43</v>
      </c>
      <c r="B16" s="10" t="s">
        <v>8</v>
      </c>
      <c r="C16" s="17"/>
      <c r="D16" s="17"/>
      <c r="E16" s="17"/>
      <c r="F16" s="17"/>
    </row>
    <row r="17" spans="1:12" x14ac:dyDescent="0.2">
      <c r="A17" s="26" t="s">
        <v>70</v>
      </c>
      <c r="B17" s="10" t="s">
        <v>113</v>
      </c>
      <c r="C17" s="17"/>
      <c r="D17" s="17"/>
      <c r="E17" s="17"/>
      <c r="F17" s="17"/>
    </row>
    <row r="18" spans="1:12" ht="13.5" thickBot="1" x14ac:dyDescent="0.25">
      <c r="A18" s="18" t="s">
        <v>50</v>
      </c>
      <c r="B18" s="11">
        <v>30</v>
      </c>
      <c r="C18" s="17"/>
      <c r="D18" s="20"/>
      <c r="E18" s="20"/>
      <c r="F18" s="17"/>
    </row>
    <row r="19" spans="1:12" ht="15.75" customHeight="1" thickBot="1" x14ac:dyDescent="0.25">
      <c r="A19" s="22"/>
      <c r="B19" s="23"/>
      <c r="C19" s="17"/>
      <c r="D19" s="17"/>
      <c r="E19" s="17"/>
      <c r="F19" s="17"/>
      <c r="H19" s="6"/>
      <c r="I19" s="6"/>
      <c r="J19" s="6"/>
      <c r="K19" s="6"/>
      <c r="L19" s="6"/>
    </row>
    <row r="20" spans="1:12" ht="15.75" customHeight="1" thickBot="1" x14ac:dyDescent="0.3">
      <c r="A20" s="14" t="s">
        <v>69</v>
      </c>
      <c r="B20" s="20"/>
      <c r="C20" s="17"/>
      <c r="D20" s="17"/>
      <c r="E20" s="17"/>
      <c r="F20" s="17"/>
      <c r="H20" s="6"/>
      <c r="I20" s="6"/>
      <c r="J20" s="6"/>
      <c r="K20" s="6"/>
      <c r="L20" s="6"/>
    </row>
    <row r="21" spans="1:12" x14ac:dyDescent="0.2">
      <c r="A21" s="112"/>
      <c r="B21" s="106" t="s">
        <v>14</v>
      </c>
      <c r="C21" s="108" t="s">
        <v>66</v>
      </c>
      <c r="D21" s="108" t="s">
        <v>1</v>
      </c>
      <c r="E21" s="108" t="s">
        <v>13</v>
      </c>
      <c r="F21" s="110" t="s">
        <v>54</v>
      </c>
      <c r="H21" s="6"/>
      <c r="I21" s="6"/>
      <c r="J21" s="6"/>
      <c r="K21" s="6"/>
      <c r="L21" s="6"/>
    </row>
    <row r="22" spans="1:12" ht="13.5" thickBot="1" x14ac:dyDescent="0.25">
      <c r="A22" s="113"/>
      <c r="B22" s="107"/>
      <c r="C22" s="109"/>
      <c r="D22" s="109"/>
      <c r="E22" s="109"/>
      <c r="F22" s="111"/>
      <c r="H22" s="6"/>
      <c r="I22" s="6"/>
      <c r="J22" s="6"/>
      <c r="K22" s="6"/>
      <c r="L22" s="6"/>
    </row>
    <row r="23" spans="1:12" x14ac:dyDescent="0.2">
      <c r="A23" s="46" t="s">
        <v>53</v>
      </c>
      <c r="B23" s="31" t="s">
        <v>15</v>
      </c>
      <c r="C23" s="58">
        <f ca="1">IF(OR(ModNum="MA24208A",ModNum="MA24218A"),+BB1_Data!C9,+BB2_Data!C9)</f>
        <v>1.5047923444781344</v>
      </c>
      <c r="D23" s="24" t="s">
        <v>3</v>
      </c>
      <c r="E23" s="31">
        <v>2</v>
      </c>
      <c r="F23" s="25">
        <f ca="1">C23/E23</f>
        <v>0.75239617223906718</v>
      </c>
      <c r="G23" s="2"/>
      <c r="H23" s="55"/>
      <c r="I23" s="6"/>
      <c r="J23" s="6"/>
      <c r="K23" s="6"/>
      <c r="L23" s="6"/>
    </row>
    <row r="24" spans="1:12" x14ac:dyDescent="0.2">
      <c r="A24" s="40" t="s">
        <v>0</v>
      </c>
      <c r="B24" s="27" t="s">
        <v>15</v>
      </c>
      <c r="C24" s="58">
        <f>IF(OR(ModNum="MA24208A",ModNum="MA24218A"),+BB1_Data!C21/Average^0.5,+BB2_Data!C21/Average^0.5)</f>
        <v>1.84130605820977E-5</v>
      </c>
      <c r="D24" s="27" t="s">
        <v>3</v>
      </c>
      <c r="E24" s="27">
        <v>2</v>
      </c>
      <c r="F24" s="29">
        <f t="shared" ref="F24:F29" si="0">C24/E24</f>
        <v>9.2065302910488498E-6</v>
      </c>
      <c r="G24" s="1"/>
      <c r="H24" s="6"/>
      <c r="I24" s="6"/>
      <c r="J24" s="6"/>
      <c r="K24" s="6"/>
      <c r="L24" s="6"/>
    </row>
    <row r="25" spans="1:12" x14ac:dyDescent="0.2">
      <c r="A25" s="40" t="s">
        <v>11</v>
      </c>
      <c r="B25" s="27" t="s">
        <v>15</v>
      </c>
      <c r="C25" s="58">
        <f ca="1">IF(OR(ModNum="MA24208A",ModNum="MA24218A"),+BB1_Data!C33,+BB2_Data!C33)</f>
        <v>4.9499999999999989E-4</v>
      </c>
      <c r="D25" s="27" t="s">
        <v>2</v>
      </c>
      <c r="E25" s="28">
        <f>3^0.5</f>
        <v>1.7320508075688772</v>
      </c>
      <c r="F25" s="29">
        <f t="shared" ca="1" si="0"/>
        <v>2.857883832488647E-4</v>
      </c>
      <c r="G25" s="1"/>
      <c r="H25" s="6"/>
      <c r="I25" s="6"/>
      <c r="J25" s="6"/>
      <c r="K25" s="6"/>
      <c r="L25" s="6"/>
    </row>
    <row r="26" spans="1:12" x14ac:dyDescent="0.2">
      <c r="A26" s="40" t="s">
        <v>7</v>
      </c>
      <c r="B26" s="27" t="s">
        <v>15</v>
      </c>
      <c r="C26" s="58">
        <f ca="1">IF(OR(ModNum="MA24208A",ModNum="MA24218A"),+BB1_Data!C45,+BB2_Data!C45)</f>
        <v>4.1400000000000003E-4</v>
      </c>
      <c r="D26" s="27" t="s">
        <v>3</v>
      </c>
      <c r="E26" s="27">
        <v>2</v>
      </c>
      <c r="F26" s="29">
        <f t="shared" ca="1" si="0"/>
        <v>2.0700000000000002E-4</v>
      </c>
      <c r="G26" s="1"/>
      <c r="H26" s="6"/>
      <c r="I26" s="6"/>
      <c r="J26" s="6"/>
      <c r="K26" s="6"/>
      <c r="L26" s="6"/>
    </row>
    <row r="27" spans="1:12" x14ac:dyDescent="0.2">
      <c r="A27" s="40" t="s">
        <v>62</v>
      </c>
      <c r="B27" s="27" t="s">
        <v>15</v>
      </c>
      <c r="C27" s="58">
        <f>IF(EXACT(B16,"Digital Mod"),BB1_Data!C56,0)</f>
        <v>0</v>
      </c>
      <c r="D27" s="27" t="s">
        <v>2</v>
      </c>
      <c r="E27" s="28">
        <f>3^0.5</f>
        <v>1.7320508075688772</v>
      </c>
      <c r="F27" s="29">
        <f t="shared" si="0"/>
        <v>0</v>
      </c>
      <c r="G27" s="3"/>
      <c r="H27" s="6"/>
      <c r="I27" s="6"/>
      <c r="J27" s="6"/>
      <c r="K27" s="6"/>
      <c r="L27" s="6"/>
    </row>
    <row r="28" spans="1:12" ht="13.5" thickBot="1" x14ac:dyDescent="0.25">
      <c r="A28" s="47"/>
      <c r="B28" s="48"/>
      <c r="C28" s="49"/>
      <c r="D28" s="49"/>
      <c r="E28" s="49"/>
      <c r="F28" s="50"/>
      <c r="G28" s="1"/>
      <c r="H28" s="6"/>
      <c r="I28" s="6"/>
      <c r="J28" s="6"/>
      <c r="K28" s="6"/>
      <c r="L28" s="6"/>
    </row>
    <row r="29" spans="1:12" ht="13.5" thickBot="1" x14ac:dyDescent="0.25">
      <c r="A29" s="51" t="s">
        <v>17</v>
      </c>
      <c r="B29" s="52" t="s">
        <v>15</v>
      </c>
      <c r="C29" s="59">
        <f>((1+(B11-1)/(B11+1)*(B6-1)/(B6+1))^2-1)*100</f>
        <v>1.7358405295711199</v>
      </c>
      <c r="D29" s="52" t="s">
        <v>2</v>
      </c>
      <c r="E29" s="53">
        <f>3^0.5</f>
        <v>1.7320508075688772</v>
      </c>
      <c r="F29" s="54">
        <f t="shared" si="0"/>
        <v>1.0021879970181486</v>
      </c>
      <c r="H29" s="6"/>
      <c r="I29" s="6"/>
      <c r="J29" s="6"/>
      <c r="K29" s="6"/>
      <c r="L29" s="6"/>
    </row>
    <row r="30" spans="1:12" s="3" customFormat="1" ht="13.5" thickBot="1" x14ac:dyDescent="0.25">
      <c r="A30" s="32"/>
      <c r="B30" s="33"/>
      <c r="C30" s="33"/>
      <c r="D30" s="33"/>
      <c r="E30" s="21"/>
      <c r="F30" s="34"/>
      <c r="G30" s="1"/>
      <c r="H30" s="56"/>
      <c r="I30" s="56"/>
      <c r="J30" s="56"/>
      <c r="K30" s="56"/>
      <c r="L30" s="56"/>
    </row>
    <row r="31" spans="1:12" ht="16.5" thickBot="1" x14ac:dyDescent="0.3">
      <c r="A31" s="35" t="s">
        <v>34</v>
      </c>
      <c r="B31" s="36"/>
      <c r="C31" s="36"/>
      <c r="D31" s="36"/>
      <c r="E31" s="36"/>
      <c r="F31" s="36"/>
      <c r="G31" s="7"/>
    </row>
    <row r="32" spans="1:12" x14ac:dyDescent="0.2">
      <c r="A32" s="40" t="s">
        <v>35</v>
      </c>
      <c r="B32" s="105" t="s">
        <v>20</v>
      </c>
      <c r="C32" s="105"/>
      <c r="D32" s="105"/>
      <c r="E32" s="105"/>
      <c r="F32" s="37">
        <f ca="1">SQRT(SUMSQ(F23:F29))</f>
        <v>1.2531882962970924</v>
      </c>
    </row>
    <row r="33" spans="1:6" x14ac:dyDescent="0.2">
      <c r="A33" s="40" t="s">
        <v>36</v>
      </c>
      <c r="B33" s="27" t="s">
        <v>16</v>
      </c>
      <c r="C33" s="8">
        <v>2</v>
      </c>
      <c r="D33" s="27"/>
      <c r="E33" s="38" t="s">
        <v>18</v>
      </c>
      <c r="F33" s="39">
        <f ca="1">F32*C33</f>
        <v>2.5063765925941848</v>
      </c>
    </row>
    <row r="34" spans="1:6" x14ac:dyDescent="0.2">
      <c r="A34" s="40" t="s">
        <v>37</v>
      </c>
      <c r="B34" s="30"/>
      <c r="C34" s="42"/>
      <c r="D34" s="41"/>
      <c r="E34" s="27" t="s">
        <v>64</v>
      </c>
      <c r="F34" s="39">
        <f ca="1">10*LOG(1+F33/100)</f>
        <v>0.10750882297529121</v>
      </c>
    </row>
    <row r="35" spans="1:6" ht="13.5" thickBot="1" x14ac:dyDescent="0.25">
      <c r="A35" s="43"/>
      <c r="B35" s="44"/>
      <c r="C35" s="44"/>
      <c r="D35" s="44"/>
      <c r="E35" s="57" t="s">
        <v>65</v>
      </c>
      <c r="F35" s="45">
        <f ca="1">IF(F33&gt;=100,-99,10*LOG(1-F33/100))</f>
        <v>-0.11023788501863115</v>
      </c>
    </row>
  </sheetData>
  <sheetProtection algorithmName="SHA-512" hashValue="wElnHbzaThHBlj55/BrXJp9vGno6pWIoHho4d3gLde552zfzTnwFX7aYlJNBi2PQm5PljnuANxhfg1hEHnaiiA==" saltValue="P0qsLQbkQ2EhRTYl5IOzrQ==" spinCount="100000" sheet="1" objects="1" scenarios="1" selectLockedCells="1"/>
  <dataConsolidate/>
  <mergeCells count="8">
    <mergeCell ref="A2:F2"/>
    <mergeCell ref="B32:E32"/>
    <mergeCell ref="B21:B22"/>
    <mergeCell ref="C21:C22"/>
    <mergeCell ref="D21:D22"/>
    <mergeCell ref="E21:E22"/>
    <mergeCell ref="F21:F22"/>
    <mergeCell ref="A21:A22"/>
  </mergeCells>
  <phoneticPr fontId="0" type="noConversion"/>
  <conditionalFormatting sqref="C28 F28">
    <cfRule type="cellIs" dxfId="1" priority="2" stopIfTrue="1" operator="equal">
      <formula>"N/A"</formula>
    </cfRule>
  </conditionalFormatting>
  <conditionalFormatting sqref="A18">
    <cfRule type="cellIs" dxfId="0" priority="1" stopIfTrue="1" operator="equal">
      <formula>"Aperture Time - Not Applicable"</formula>
    </cfRule>
  </conditionalFormatting>
  <dataValidations count="2">
    <dataValidation type="decimal" operator="greaterThanOrEqual" showInputMessage="1" showErrorMessage="1" sqref="B11">
      <formula1>1</formula1>
    </dataValidation>
    <dataValidation type="whole" allowBlank="1" showInputMessage="1" showErrorMessage="1" sqref="C33">
      <formula1>1</formula1>
      <formula2>6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BB1_Data!$I$2:$I$6</xm:f>
          </x14:formula1>
          <xm:sqref>B5</xm:sqref>
        </x14:dataValidation>
        <x14:dataValidation type="list" allowBlank="1" showInputMessage="1" showErrorMessage="1">
          <x14:formula1>
            <xm:f>BB1_Data!$I$9:$I$10</xm:f>
          </x14:formula1>
          <xm:sqref>B16</xm:sqref>
        </x14:dataValidation>
        <x14:dataValidation type="list" allowBlank="1" showInputMessage="1" showErrorMessage="1">
          <x14:formula1>
            <xm:f>BB1_Data!$I$13:$I$14</xm:f>
          </x14:formula1>
          <xm:sqref>B17</xm:sqref>
        </x14:dataValidation>
        <x14:dataValidation type="decimal" showInputMessage="1" showErrorMessage="1">
          <x14:formula1>
            <xm:f>BB1_Data!I38</xm:f>
          </x14:formula1>
          <x14:formula2>
            <xm:f>BB1_Data!I35</xm:f>
          </x14:formula2>
          <xm:sqref>B18</xm:sqref>
        </x14:dataValidation>
        <x14:dataValidation type="whole" showInputMessage="1" showErrorMessage="1">
          <x14:formula1>
            <xm:f>1</xm:f>
          </x14:formula1>
          <x14:formula2>
            <xm:f>BB1_Data!I56</xm:f>
          </x14:formula2>
          <xm:sqref>B14</xm:sqref>
        </x14:dataValidation>
        <x14:dataValidation type="decimal" showInputMessage="1" showErrorMessage="1">
          <x14:formula1>
            <xm:f>BB1_Data!I32</xm:f>
          </x14:formula1>
          <x14:formula2>
            <xm:f>BB1_Data!I29</xm:f>
          </x14:formula2>
          <xm:sqref>B15</xm:sqref>
        </x14:dataValidation>
        <x14:dataValidation type="decimal" showInputMessage="1" showErrorMessage="1">
          <x14:formula1>
            <xm:f>BB1_Data!I20</xm:f>
          </x14:formula1>
          <x14:formula2>
            <xm:f>BB1_Data!I17</xm:f>
          </x14:formula2>
          <xm:sqref>B9</xm:sqref>
        </x14:dataValidation>
        <x14:dataValidation type="decimal" showInputMessage="1" showErrorMessage="1">
          <x14:formula1>
            <xm:f>BB1_Data!I26</xm:f>
          </x14:formula1>
          <x14:formula2>
            <xm:f>BB1_Data!I23</xm:f>
          </x14:formula2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zoomScaleNormal="100" workbookViewId="0">
      <selection activeCell="C1" sqref="C1"/>
    </sheetView>
  </sheetViews>
  <sheetFormatPr defaultRowHeight="12.75" x14ac:dyDescent="0.2"/>
  <cols>
    <col min="1" max="1" width="15.7109375" style="64" customWidth="1"/>
    <col min="2" max="2" width="4.85546875" style="64" customWidth="1"/>
    <col min="3" max="3" width="12.28515625" style="64" customWidth="1"/>
    <col min="4" max="4" width="4.42578125" style="64" customWidth="1"/>
    <col min="5" max="5" width="13.28515625" style="64" customWidth="1"/>
    <col min="6" max="6" width="11.5703125" style="64" customWidth="1"/>
    <col min="7" max="7" width="14.140625" style="61" customWidth="1"/>
    <col min="8" max="8" width="9.140625" style="61" customWidth="1"/>
    <col min="9" max="9" width="30.7109375" style="64" customWidth="1"/>
    <col min="10" max="10" width="9.140625" style="61" customWidth="1"/>
    <col min="11" max="11" width="10.5703125" style="61" bestFit="1" customWidth="1"/>
    <col min="12" max="12" width="9.42578125" style="61" bestFit="1" customWidth="1"/>
    <col min="13" max="13" width="9.7109375" style="61" bestFit="1" customWidth="1"/>
    <col min="14" max="14" width="9.28515625" style="61" bestFit="1" customWidth="1"/>
    <col min="15" max="15" width="10.42578125" style="61" bestFit="1" customWidth="1"/>
    <col min="16" max="16" width="10.7109375" style="61" bestFit="1" customWidth="1"/>
    <col min="17" max="17" width="10.28515625" style="61" bestFit="1" customWidth="1"/>
    <col min="18" max="18" width="10.42578125" style="61" bestFit="1" customWidth="1"/>
    <col min="19" max="19" width="9.140625" style="61"/>
    <col min="20" max="20" width="10.42578125" style="61" bestFit="1" customWidth="1"/>
    <col min="21" max="21" width="11" style="61" bestFit="1" customWidth="1"/>
    <col min="22" max="22" width="9.140625" style="61"/>
    <col min="23" max="23" width="9.42578125" style="61" bestFit="1" customWidth="1"/>
    <col min="24" max="16384" width="9.140625" style="61"/>
  </cols>
  <sheetData>
    <row r="1" spans="1:23" x14ac:dyDescent="0.2">
      <c r="A1" s="62" t="s">
        <v>95</v>
      </c>
      <c r="B1" s="62"/>
      <c r="F1" s="65" t="s">
        <v>55</v>
      </c>
      <c r="G1" s="67" t="s">
        <v>56</v>
      </c>
      <c r="I1" s="62" t="s">
        <v>42</v>
      </c>
      <c r="J1" s="63"/>
      <c r="O1" s="64"/>
      <c r="P1" s="64"/>
      <c r="Q1" s="64"/>
    </row>
    <row r="2" spans="1:23" x14ac:dyDescent="0.2">
      <c r="A2" s="65" t="s">
        <v>22</v>
      </c>
      <c r="B2" s="64" t="s">
        <v>30</v>
      </c>
      <c r="C2" s="65" t="s">
        <v>23</v>
      </c>
      <c r="D2" s="64" t="s">
        <v>30</v>
      </c>
      <c r="E2" s="65" t="s">
        <v>21</v>
      </c>
      <c r="F2" s="65"/>
      <c r="I2" s="83" t="str">
        <f>IF(Freq&gt;8,"","MA24208A")</f>
        <v>MA24208A</v>
      </c>
      <c r="J2" s="84"/>
      <c r="K2" s="63" t="s">
        <v>93</v>
      </c>
      <c r="L2" s="62" t="s">
        <v>83</v>
      </c>
      <c r="M2" s="62" t="s">
        <v>84</v>
      </c>
      <c r="N2" s="62" t="s">
        <v>85</v>
      </c>
      <c r="O2" s="62" t="s">
        <v>86</v>
      </c>
      <c r="P2" s="62" t="s">
        <v>87</v>
      </c>
      <c r="Q2" s="62" t="s">
        <v>88</v>
      </c>
    </row>
    <row r="3" spans="1:23" x14ac:dyDescent="0.2">
      <c r="A3" s="65">
        <f>$I$26</f>
        <v>0.01</v>
      </c>
      <c r="B3" s="65" t="s">
        <v>31</v>
      </c>
      <c r="C3" s="65">
        <v>0.05</v>
      </c>
      <c r="D3" s="65" t="s">
        <v>31</v>
      </c>
      <c r="E3" s="65">
        <f ca="1">OFFSET(K3,0,L7)</f>
        <v>0.111</v>
      </c>
      <c r="F3" s="66">
        <f>IF(((Freq&gt;=A3) * (Freq&lt;=C3)),E3,0)</f>
        <v>0</v>
      </c>
      <c r="G3" s="85">
        <f>+F3*(IF((B3="n")*(Freq=A3),0,1)*(IF((D3="n")*(Freq=C3),0,1)))</f>
        <v>0</v>
      </c>
      <c r="I3" s="83" t="str">
        <f>IF(Freq&gt;18,"","MA24218A")</f>
        <v>MA24218A</v>
      </c>
      <c r="J3" s="84"/>
      <c r="K3" s="86" t="s">
        <v>79</v>
      </c>
      <c r="L3" s="65">
        <v>0.14299999999999999</v>
      </c>
      <c r="M3" s="65">
        <v>0.14000000000000001</v>
      </c>
      <c r="N3" s="65">
        <v>0.14099999999999999</v>
      </c>
      <c r="O3" s="65">
        <v>0.115</v>
      </c>
      <c r="P3" s="65">
        <v>0.111</v>
      </c>
      <c r="Q3" s="65">
        <v>0.127</v>
      </c>
    </row>
    <row r="4" spans="1:23" x14ac:dyDescent="0.2">
      <c r="A4" s="65">
        <v>0.05</v>
      </c>
      <c r="B4" s="65" t="s">
        <v>32</v>
      </c>
      <c r="C4" s="65">
        <v>2</v>
      </c>
      <c r="D4" s="65" t="s">
        <v>31</v>
      </c>
      <c r="E4" s="65">
        <f ca="1">OFFSET(K4,0,L7)</f>
        <v>0.10199999999999999</v>
      </c>
      <c r="F4" s="66">
        <f>IF(((Freq&gt;=A4) * (Freq&lt;=C4)),E4,0)</f>
        <v>0</v>
      </c>
      <c r="G4" s="85">
        <f>+F4*(IF((B4="n")*(Freq=A4),0,1)*(IF((D4="n")*(Freq=C4),0,1)))</f>
        <v>0</v>
      </c>
      <c r="H4" s="67"/>
      <c r="I4" s="83" t="str">
        <f>IF(Freq&gt;33,"","MA24330A")</f>
        <v>MA24330A</v>
      </c>
      <c r="J4" s="67"/>
      <c r="K4" s="86" t="s">
        <v>80</v>
      </c>
      <c r="L4" s="65">
        <v>0.15</v>
      </c>
      <c r="M4" s="65">
        <v>0.14399999999999999</v>
      </c>
      <c r="N4" s="65">
        <v>0.13800000000000001</v>
      </c>
      <c r="O4" s="65">
        <v>9.7000000000000003E-2</v>
      </c>
      <c r="P4" s="65">
        <v>0.10199999999999999</v>
      </c>
      <c r="Q4" s="65">
        <v>0.121</v>
      </c>
    </row>
    <row r="5" spans="1:23" x14ac:dyDescent="0.2">
      <c r="A5" s="65">
        <v>2</v>
      </c>
      <c r="B5" s="65" t="s">
        <v>32</v>
      </c>
      <c r="C5" s="65">
        <v>12.4</v>
      </c>
      <c r="D5" s="65" t="s">
        <v>31</v>
      </c>
      <c r="E5" s="65">
        <f ca="1">OFFSET(K5,0,L7)</f>
        <v>0.128</v>
      </c>
      <c r="F5" s="66">
        <f ca="1">IF(((Freq&gt;=A5) * (Freq&lt;=C5)),E5,0)</f>
        <v>0.128</v>
      </c>
      <c r="G5" s="85">
        <f ca="1">+F5*(IF((B5="n")*(Freq=A5),0,1)*(IF((D5="n")*(Freq=C5),0,1)))</f>
        <v>0.128</v>
      </c>
      <c r="H5" s="67"/>
      <c r="I5" s="83" t="str">
        <f>IF(Freq&gt;40,"","MA24340A")</f>
        <v>MA24340A</v>
      </c>
      <c r="J5" s="63"/>
      <c r="K5" s="87" t="s">
        <v>81</v>
      </c>
      <c r="L5" s="65">
        <v>0.152</v>
      </c>
      <c r="M5" s="65">
        <v>0.13400000000000001</v>
      </c>
      <c r="N5" s="65">
        <v>0.13200000000000001</v>
      </c>
      <c r="O5" s="65">
        <v>0.1</v>
      </c>
      <c r="P5" s="65">
        <v>0.128</v>
      </c>
      <c r="Q5" s="65">
        <v>0.13500000000000001</v>
      </c>
    </row>
    <row r="6" spans="1:23" x14ac:dyDescent="0.2">
      <c r="A6" s="65">
        <v>12.4</v>
      </c>
      <c r="B6" s="65" t="s">
        <v>32</v>
      </c>
      <c r="C6" s="65">
        <v>18</v>
      </c>
      <c r="D6" s="65" t="s">
        <v>31</v>
      </c>
      <c r="E6" s="65">
        <f ca="1">OFFSET(K6,0,L7)</f>
        <v>0.114</v>
      </c>
      <c r="F6" s="66">
        <f>IF(((Freq&gt;=A6) * (Freq&lt;=C6)),E6,0)</f>
        <v>0</v>
      </c>
      <c r="G6" s="85">
        <f>+F6*(IF((B6="n")*(Freq=A6),0,1)*(IF((D6="n")*(Freq=C6),0,1)))</f>
        <v>0</v>
      </c>
      <c r="H6" s="67"/>
      <c r="I6" s="83" t="str">
        <f>IF(Freq&gt;50,"","MA24350A")</f>
        <v>MA24350A</v>
      </c>
      <c r="J6" s="84"/>
      <c r="K6" s="87" t="s">
        <v>82</v>
      </c>
      <c r="L6" s="65">
        <v>0.13700000000000001</v>
      </c>
      <c r="M6" s="65">
        <v>0.127</v>
      </c>
      <c r="N6" s="65">
        <v>0.16800000000000001</v>
      </c>
      <c r="O6" s="65">
        <v>0.115</v>
      </c>
      <c r="P6" s="65">
        <v>0.114</v>
      </c>
      <c r="Q6" s="65">
        <v>0.13900000000000001</v>
      </c>
    </row>
    <row r="7" spans="1:23" x14ac:dyDescent="0.2">
      <c r="A7" s="65"/>
      <c r="C7" s="65"/>
      <c r="H7" s="67"/>
      <c r="J7" s="84"/>
      <c r="K7" s="61" t="s">
        <v>89</v>
      </c>
      <c r="L7" s="61">
        <f>IF(Power&gt;=C14,IF(Power&gt;=C15,1,2),3)+IF(AND(Temp&lt;=30,Temp&gt;=20),3,0)</f>
        <v>5</v>
      </c>
    </row>
    <row r="8" spans="1:23" x14ac:dyDescent="0.2">
      <c r="A8" s="62" t="s">
        <v>57</v>
      </c>
      <c r="B8" s="62"/>
      <c r="C8" s="68">
        <f ca="1">SUM(G3:G7)</f>
        <v>0.128</v>
      </c>
      <c r="D8" s="68"/>
      <c r="E8" s="69"/>
      <c r="F8" s="69"/>
      <c r="G8" s="70"/>
      <c r="H8" s="67"/>
      <c r="I8" s="62" t="s">
        <v>9</v>
      </c>
      <c r="K8" s="67"/>
    </row>
    <row r="9" spans="1:23" x14ac:dyDescent="0.2">
      <c r="A9" s="62" t="s">
        <v>58</v>
      </c>
      <c r="B9" s="62"/>
      <c r="C9" s="77">
        <f ca="1">((10^(C8/10) -1)*100)</f>
        <v>2.991171934069925</v>
      </c>
      <c r="D9" s="77"/>
      <c r="I9" s="83" t="s">
        <v>8</v>
      </c>
      <c r="J9" s="63"/>
    </row>
    <row r="10" spans="1:23" x14ac:dyDescent="0.2">
      <c r="H10" s="67"/>
      <c r="I10" s="83" t="str">
        <f>IF(OR(ModNum="MA24208A",ModNum="MA24218A"),"Digital Mod","")</f>
        <v/>
      </c>
      <c r="J10" s="84"/>
      <c r="K10" s="67"/>
      <c r="M10" s="67"/>
      <c r="N10" s="67"/>
      <c r="O10" s="67"/>
      <c r="P10" s="67"/>
      <c r="Q10" s="67"/>
      <c r="S10" s="68"/>
    </row>
    <row r="11" spans="1:23" x14ac:dyDescent="0.2">
      <c r="H11" s="70"/>
      <c r="J11" s="84"/>
      <c r="K11" s="67"/>
      <c r="M11" s="67"/>
      <c r="N11" s="67"/>
      <c r="O11" s="67"/>
      <c r="P11" s="67"/>
      <c r="Q11" s="67"/>
    </row>
    <row r="12" spans="1:23" x14ac:dyDescent="0.2">
      <c r="A12" s="62" t="s">
        <v>39</v>
      </c>
      <c r="B12" s="62"/>
      <c r="F12" s="65" t="s">
        <v>55</v>
      </c>
      <c r="G12" s="67" t="s">
        <v>56</v>
      </c>
      <c r="I12" s="62" t="s">
        <v>41</v>
      </c>
    </row>
    <row r="13" spans="1:23" x14ac:dyDescent="0.2">
      <c r="A13" s="65" t="s">
        <v>24</v>
      </c>
      <c r="B13" s="64" t="s">
        <v>30</v>
      </c>
      <c r="C13" s="65" t="s">
        <v>25</v>
      </c>
      <c r="D13" s="64" t="s">
        <v>30</v>
      </c>
      <c r="E13" s="65" t="s">
        <v>26</v>
      </c>
      <c r="F13" s="65"/>
      <c r="I13" s="83" t="str">
        <f>IF(OR(ModNum="MA24208A",ModNum="MA24218A"),"Enabled","")</f>
        <v/>
      </c>
      <c r="J13" s="63"/>
      <c r="K13" s="63" t="s">
        <v>0</v>
      </c>
      <c r="L13" s="62" t="s">
        <v>96</v>
      </c>
      <c r="M13" s="62" t="s">
        <v>97</v>
      </c>
      <c r="N13" s="62" t="s">
        <v>98</v>
      </c>
    </row>
    <row r="14" spans="1:23" x14ac:dyDescent="0.2">
      <c r="A14" s="72">
        <f>$I$20</f>
        <v>-70</v>
      </c>
      <c r="B14" s="71" t="s">
        <v>31</v>
      </c>
      <c r="C14" s="72">
        <f>IF(Enhmod="Disabled",$I$41,$I$47)</f>
        <v>-19</v>
      </c>
      <c r="D14" s="65" t="s">
        <v>32</v>
      </c>
      <c r="E14" s="73">
        <f ca="1">OFFSET(K14,0,L17)</f>
        <v>1.445E-7</v>
      </c>
      <c r="F14" s="66">
        <f>IF(((Power&gt;=A14) * (Power&lt;=C14)),E14,0)</f>
        <v>0</v>
      </c>
      <c r="G14" s="85">
        <f>+F14*(IF((B14="n")*(Power=A14),0,1)*(IF((D14="n")*(Power=C14),0,1)))</f>
        <v>0</v>
      </c>
      <c r="I14" s="83" t="str">
        <f>IF(OR(ModNum="MA24208A",ModNum="MA24218A"),"Disabled","")</f>
        <v/>
      </c>
      <c r="J14" s="88"/>
      <c r="K14" s="86" t="s">
        <v>90</v>
      </c>
      <c r="L14" s="73">
        <v>1.5300000000000001E-7</v>
      </c>
      <c r="M14" s="73">
        <v>1.445E-7</v>
      </c>
      <c r="N14" s="73">
        <v>1.628E-7</v>
      </c>
      <c r="Q14" s="80"/>
      <c r="R14" s="89"/>
      <c r="T14" s="90"/>
      <c r="U14" s="89"/>
      <c r="W14" s="91"/>
    </row>
    <row r="15" spans="1:23" x14ac:dyDescent="0.2">
      <c r="A15" s="72">
        <f>IF(Enhmod="Disabled",$I$41,$I$47)</f>
        <v>-19</v>
      </c>
      <c r="B15" s="65" t="s">
        <v>31</v>
      </c>
      <c r="C15" s="72">
        <f>IF(Enhmod="Disabled",$I$44,$I$50)</f>
        <v>1</v>
      </c>
      <c r="D15" s="65" t="s">
        <v>32</v>
      </c>
      <c r="E15" s="73">
        <f ca="1">OFFSET(K15,0,L17)</f>
        <v>1.1950000000000001E-5</v>
      </c>
      <c r="F15" s="66">
        <f ca="1">IF(((Power&gt;=A15) * (Power&lt;=C15)),E15,0)</f>
        <v>1.1950000000000001E-5</v>
      </c>
      <c r="G15" s="85">
        <f ca="1">+F15*(IF((B15="n")*(Power=A15),0,1)*(IF((D15="n")*(Power=C15),0,1)))</f>
        <v>1.1950000000000001E-5</v>
      </c>
      <c r="J15" s="84"/>
      <c r="K15" s="86" t="s">
        <v>91</v>
      </c>
      <c r="L15" s="73">
        <v>1.4250000000000001E-5</v>
      </c>
      <c r="M15" s="73">
        <v>1.1950000000000001E-5</v>
      </c>
      <c r="N15" s="73">
        <v>1.4229999999999999E-5</v>
      </c>
      <c r="Q15" s="80"/>
      <c r="R15" s="89"/>
      <c r="T15" s="90"/>
      <c r="U15" s="89"/>
      <c r="W15" s="91"/>
    </row>
    <row r="16" spans="1:23" x14ac:dyDescent="0.2">
      <c r="A16" s="72">
        <f>IF(Enhmod="Disabled",$I$44,$I$50)</f>
        <v>1</v>
      </c>
      <c r="B16" s="65" t="s">
        <v>31</v>
      </c>
      <c r="C16" s="72">
        <f>$I$17</f>
        <v>20</v>
      </c>
      <c r="D16" s="71" t="s">
        <v>31</v>
      </c>
      <c r="E16" s="73">
        <f ca="1">OFFSET(K16,0,L17)</f>
        <v>1.0089999999999999E-3</v>
      </c>
      <c r="F16" s="66">
        <f>IF(((Power&gt;=A16) * (Power&lt;=C16)),E16,0)</f>
        <v>0</v>
      </c>
      <c r="G16" s="66">
        <f>+F16*(IF((B16="n")*(Power=A16),0,1)*(IF((D16="n")*(Power=C16),0,1)))</f>
        <v>0</v>
      </c>
      <c r="I16" s="62" t="s">
        <v>48</v>
      </c>
      <c r="J16" s="63"/>
      <c r="K16" s="87" t="s">
        <v>92</v>
      </c>
      <c r="L16" s="73">
        <v>1.2099999999999999E-3</v>
      </c>
      <c r="M16" s="73">
        <v>1.0089999999999999E-3</v>
      </c>
      <c r="N16" s="73">
        <v>1.2769999999999999E-3</v>
      </c>
      <c r="Q16" s="80"/>
      <c r="R16" s="89"/>
      <c r="T16" s="90"/>
      <c r="U16" s="89"/>
      <c r="W16" s="91"/>
    </row>
    <row r="17" spans="1:14" x14ac:dyDescent="0.2">
      <c r="F17" s="65"/>
      <c r="I17" s="92">
        <v>20</v>
      </c>
      <c r="J17" s="88"/>
      <c r="K17" s="61" t="s">
        <v>89</v>
      </c>
      <c r="L17" s="61">
        <f>IF(Temp&lt;13,1,IF(Temp&gt;38,3,2))</f>
        <v>2</v>
      </c>
      <c r="M17" s="65"/>
      <c r="N17" s="65"/>
    </row>
    <row r="18" spans="1:14" x14ac:dyDescent="0.2">
      <c r="I18" s="83"/>
      <c r="K18" s="67"/>
    </row>
    <row r="19" spans="1:14" ht="27.75" x14ac:dyDescent="0.2">
      <c r="A19" s="74" t="s">
        <v>114</v>
      </c>
      <c r="B19" s="74"/>
      <c r="C19" s="75">
        <f ca="1">SUM(G14:G18)/SQRT($I$53*Aperture)</f>
        <v>2.2583377262301328E-7</v>
      </c>
      <c r="D19" s="76"/>
      <c r="E19" s="69"/>
      <c r="F19" s="71"/>
      <c r="G19" s="73"/>
      <c r="I19" s="62" t="s">
        <v>71</v>
      </c>
      <c r="J19" s="63"/>
      <c r="K19" s="67"/>
    </row>
    <row r="20" spans="1:14" x14ac:dyDescent="0.2">
      <c r="A20" s="62" t="s">
        <v>6</v>
      </c>
      <c r="B20" s="62"/>
      <c r="C20" s="76">
        <f>0.001*10^(Power/10)</f>
        <v>1E-3</v>
      </c>
      <c r="D20" s="76"/>
      <c r="I20" s="92">
        <f>IF(OR(ModNum="MA24208A",ModNum="MA24218A"),-60,-70)</f>
        <v>-70</v>
      </c>
      <c r="J20" s="88"/>
      <c r="K20" s="67"/>
    </row>
    <row r="21" spans="1:14" x14ac:dyDescent="0.2">
      <c r="A21" s="62" t="s">
        <v>52</v>
      </c>
      <c r="B21" s="62"/>
      <c r="C21" s="77">
        <f ca="1">+C19/C20*100</f>
        <v>2.2583377262301328E-2</v>
      </c>
      <c r="D21" s="77"/>
      <c r="K21" s="67"/>
    </row>
    <row r="22" spans="1:14" x14ac:dyDescent="0.2">
      <c r="I22" s="62" t="s">
        <v>49</v>
      </c>
      <c r="J22" s="63"/>
    </row>
    <row r="23" spans="1:14" x14ac:dyDescent="0.2">
      <c r="I23" s="92">
        <f>IF(ModNum="MA24208A",8,IF(ModNum="MA24218A",18,IF(ModNum="MA24330A",33,IF(ModNum="MA24340A",40,50))))</f>
        <v>40</v>
      </c>
      <c r="J23" s="88"/>
    </row>
    <row r="24" spans="1:14" x14ac:dyDescent="0.2">
      <c r="A24" s="62" t="s">
        <v>11</v>
      </c>
      <c r="B24" s="62"/>
      <c r="F24" s="65" t="s">
        <v>55</v>
      </c>
      <c r="G24" s="67" t="s">
        <v>56</v>
      </c>
    </row>
    <row r="25" spans="1:14" x14ac:dyDescent="0.2">
      <c r="A25" s="65" t="s">
        <v>24</v>
      </c>
      <c r="B25" s="64" t="s">
        <v>30</v>
      </c>
      <c r="C25" s="65" t="s">
        <v>25</v>
      </c>
      <c r="D25" s="64" t="s">
        <v>30</v>
      </c>
      <c r="E25" s="65" t="s">
        <v>26</v>
      </c>
      <c r="F25" s="65"/>
      <c r="H25" s="70"/>
      <c r="I25" s="62" t="s">
        <v>72</v>
      </c>
      <c r="J25" s="63"/>
      <c r="K25" s="63" t="s">
        <v>94</v>
      </c>
      <c r="L25" s="62" t="s">
        <v>96</v>
      </c>
      <c r="M25" s="62" t="s">
        <v>97</v>
      </c>
      <c r="N25" s="62" t="s">
        <v>98</v>
      </c>
    </row>
    <row r="26" spans="1:14" x14ac:dyDescent="0.2">
      <c r="A26" s="72">
        <f>$I$20</f>
        <v>-70</v>
      </c>
      <c r="B26" s="71" t="s">
        <v>31</v>
      </c>
      <c r="C26" s="72">
        <f>IF(Enhmod="Disabled",$I$41,$I$47)</f>
        <v>-19</v>
      </c>
      <c r="D26" s="65" t="s">
        <v>32</v>
      </c>
      <c r="E26" s="73">
        <f ca="1">OFFSET(K26,0,L29)</f>
        <v>3.3229999999999998E-10</v>
      </c>
      <c r="F26" s="66">
        <f>IF(((Power&gt;=A26) * (Power&lt;=C26)),E26,0)</f>
        <v>0</v>
      </c>
      <c r="G26" s="85">
        <f>+F26*(IF((B26="n")*(Power=A26),0,1)*(IF((D26="n")*(Power=C26),0,1)))</f>
        <v>0</v>
      </c>
      <c r="I26" s="92">
        <v>0.01</v>
      </c>
      <c r="J26" s="88"/>
      <c r="K26" s="86" t="s">
        <v>90</v>
      </c>
      <c r="L26" s="73">
        <v>2.7E-10</v>
      </c>
      <c r="M26" s="73">
        <v>3.3229999999999998E-10</v>
      </c>
      <c r="N26" s="73">
        <v>3.128E-10</v>
      </c>
    </row>
    <row r="27" spans="1:14" x14ac:dyDescent="0.2">
      <c r="A27" s="72">
        <f>IF(Enhmod="Disabled",$I$41,$I$47)</f>
        <v>-19</v>
      </c>
      <c r="B27" s="65" t="s">
        <v>31</v>
      </c>
      <c r="C27" s="72">
        <f>IF(Enhmod="Disabled",$I$44,$I$50)</f>
        <v>1</v>
      </c>
      <c r="D27" s="65" t="s">
        <v>32</v>
      </c>
      <c r="E27" s="73">
        <f ca="1">OFFSET(K27,0,L29)</f>
        <v>3.8729999999999997E-8</v>
      </c>
      <c r="F27" s="66">
        <f ca="1">IF(((Power&gt;=A27) * (Power&lt;=C27)),E27,0)</f>
        <v>3.8729999999999997E-8</v>
      </c>
      <c r="G27" s="85">
        <f ca="1">+F27*(IF((B27="n")*(Power=A27),0,1)*(IF((D27="n")*(Power=C27),0,1)))</f>
        <v>3.8729999999999997E-8</v>
      </c>
      <c r="K27" s="86" t="s">
        <v>91</v>
      </c>
      <c r="L27" s="73">
        <v>4.4309999999999998E-8</v>
      </c>
      <c r="M27" s="73">
        <v>3.8729999999999997E-8</v>
      </c>
      <c r="N27" s="73">
        <v>3.9290000000000003E-8</v>
      </c>
    </row>
    <row r="28" spans="1:14" x14ac:dyDescent="0.2">
      <c r="A28" s="72">
        <f>IF(Enhmod="Disabled",$I$44,$I$50)</f>
        <v>1</v>
      </c>
      <c r="B28" s="65" t="s">
        <v>31</v>
      </c>
      <c r="C28" s="72">
        <f>$I$17</f>
        <v>20</v>
      </c>
      <c r="D28" s="71" t="s">
        <v>31</v>
      </c>
      <c r="E28" s="73">
        <f ca="1">OFFSET(K28,0,L29)</f>
        <v>1.0699999999999999E-6</v>
      </c>
      <c r="F28" s="66">
        <f>IF(((Power&gt;=A28) * (Power&lt;=C28)),E28,0)</f>
        <v>0</v>
      </c>
      <c r="G28" s="85">
        <f>+F28*(IF((B28="n")*(Power=A28),0,1)*(IF((D28="n")*(Power=C28),0,1)))</f>
        <v>0</v>
      </c>
      <c r="I28" s="62" t="s">
        <v>51</v>
      </c>
      <c r="J28" s="63"/>
      <c r="K28" s="87" t="s">
        <v>92</v>
      </c>
      <c r="L28" s="73">
        <v>1.1820000000000001E-6</v>
      </c>
      <c r="M28" s="73">
        <v>1.0699999999999999E-6</v>
      </c>
      <c r="N28" s="73">
        <v>1.663E-6</v>
      </c>
    </row>
    <row r="29" spans="1:14" x14ac:dyDescent="0.2">
      <c r="F29" s="65"/>
      <c r="I29" s="92">
        <v>1000</v>
      </c>
      <c r="J29" s="88"/>
      <c r="K29" s="61" t="s">
        <v>89</v>
      </c>
      <c r="L29" s="61">
        <f>IF(Temp&lt;13,1,IF(Temp&gt;38,3,2))</f>
        <v>2</v>
      </c>
    </row>
    <row r="30" spans="1:14" x14ac:dyDescent="0.2">
      <c r="J30" s="70"/>
    </row>
    <row r="31" spans="1:14" x14ac:dyDescent="0.2">
      <c r="A31" s="74" t="s">
        <v>67</v>
      </c>
      <c r="B31" s="74"/>
      <c r="C31" s="75">
        <f ca="1">+SUM(G26:G30)</f>
        <v>3.8729999999999997E-8</v>
      </c>
      <c r="D31" s="76"/>
      <c r="E31" s="69"/>
      <c r="F31" s="71"/>
      <c r="G31" s="93"/>
      <c r="I31" s="62" t="s">
        <v>73</v>
      </c>
      <c r="J31" s="63"/>
    </row>
    <row r="32" spans="1:14" x14ac:dyDescent="0.2">
      <c r="A32" s="62" t="s">
        <v>6</v>
      </c>
      <c r="B32" s="62"/>
      <c r="C32" s="76">
        <f>0.001*10^(Power/10)</f>
        <v>1E-3</v>
      </c>
      <c r="D32" s="76"/>
      <c r="I32" s="92">
        <v>0.01</v>
      </c>
      <c r="J32" s="88"/>
    </row>
    <row r="33" spans="1:14" x14ac:dyDescent="0.2">
      <c r="A33" s="62" t="s">
        <v>28</v>
      </c>
      <c r="B33" s="62"/>
      <c r="C33" s="77">
        <f ca="1">+C31/C32*100</f>
        <v>3.8729999999999997E-3</v>
      </c>
      <c r="D33" s="77"/>
      <c r="I33" s="69"/>
    </row>
    <row r="34" spans="1:14" x14ac:dyDescent="0.2">
      <c r="I34" s="62" t="s">
        <v>115</v>
      </c>
      <c r="J34" s="63"/>
    </row>
    <row r="35" spans="1:14" x14ac:dyDescent="0.2">
      <c r="I35" s="92">
        <v>50</v>
      </c>
      <c r="J35" s="88"/>
    </row>
    <row r="36" spans="1:14" x14ac:dyDescent="0.2">
      <c r="A36" s="62" t="s">
        <v>40</v>
      </c>
      <c r="B36" s="62"/>
      <c r="F36" s="65" t="s">
        <v>55</v>
      </c>
      <c r="G36" s="67" t="s">
        <v>56</v>
      </c>
    </row>
    <row r="37" spans="1:14" x14ac:dyDescent="0.2">
      <c r="A37" s="65" t="s">
        <v>24</v>
      </c>
      <c r="B37" s="64" t="s">
        <v>30</v>
      </c>
      <c r="C37" s="65" t="s">
        <v>25</v>
      </c>
      <c r="D37" s="64" t="s">
        <v>30</v>
      </c>
      <c r="E37" s="65" t="s">
        <v>26</v>
      </c>
      <c r="F37" s="65"/>
      <c r="I37" s="62" t="s">
        <v>78</v>
      </c>
      <c r="J37" s="94"/>
      <c r="K37" s="63" t="s">
        <v>7</v>
      </c>
      <c r="L37" s="62" t="s">
        <v>96</v>
      </c>
      <c r="M37" s="62" t="s">
        <v>97</v>
      </c>
      <c r="N37" s="62" t="s">
        <v>98</v>
      </c>
    </row>
    <row r="38" spans="1:14" x14ac:dyDescent="0.2">
      <c r="A38" s="72">
        <f>$I$20</f>
        <v>-70</v>
      </c>
      <c r="B38" s="71" t="s">
        <v>31</v>
      </c>
      <c r="C38" s="72">
        <f>IF(Enhmod="Disabled",$I$41,$I$47)</f>
        <v>-19</v>
      </c>
      <c r="D38" s="65" t="s">
        <v>32</v>
      </c>
      <c r="E38" s="73">
        <f t="shared" ref="E38" ca="1" si="0">OFFSET(K38,0,L41)</f>
        <v>3.435E-10</v>
      </c>
      <c r="F38" s="66">
        <f>IF(((Power&gt;=A38) * (Power&lt;=C38)),E38,0)</f>
        <v>0</v>
      </c>
      <c r="G38" s="85">
        <f>+F38*(IF((B38="n")*(Power=A38),0,1)*(IF((D38="n")*(Power=C38),0,1)))</f>
        <v>0</v>
      </c>
      <c r="I38" s="92">
        <v>0</v>
      </c>
      <c r="J38" s="88"/>
      <c r="K38" s="86" t="s">
        <v>90</v>
      </c>
      <c r="L38" s="73">
        <v>2.587E-10</v>
      </c>
      <c r="M38" s="73">
        <v>3.435E-10</v>
      </c>
      <c r="N38" s="73">
        <v>2.8420000000000001E-10</v>
      </c>
    </row>
    <row r="39" spans="1:14" x14ac:dyDescent="0.2">
      <c r="A39" s="72">
        <f>IF(Enhmod="Disabled",$I$41,$I$47)</f>
        <v>-19</v>
      </c>
      <c r="B39" s="65" t="s">
        <v>31</v>
      </c>
      <c r="C39" s="72">
        <f>IF(Enhmod="Disabled",$I$44,$I$50)</f>
        <v>1</v>
      </c>
      <c r="D39" s="65" t="s">
        <v>32</v>
      </c>
      <c r="E39" s="73">
        <f ca="1">OFFSET(K39,0,L41)</f>
        <v>4.2939999999999999E-8</v>
      </c>
      <c r="F39" s="66">
        <f ca="1">IF(((Power&gt;=A39) * (Power&lt;=C39)),E39,0)</f>
        <v>4.2939999999999999E-8</v>
      </c>
      <c r="G39" s="85">
        <f ca="1">+F39*(IF((B39="n")*(Power=A39),0,1)*(IF((D39="n")*(Power=C39),0,1)))</f>
        <v>4.2939999999999999E-8</v>
      </c>
      <c r="H39" s="70"/>
      <c r="K39" s="86" t="s">
        <v>91</v>
      </c>
      <c r="L39" s="73">
        <v>3.9650000000000001E-8</v>
      </c>
      <c r="M39" s="73">
        <v>4.2939999999999999E-8</v>
      </c>
      <c r="N39" s="73">
        <v>3.4669999999999999E-8</v>
      </c>
    </row>
    <row r="40" spans="1:14" ht="25.5" x14ac:dyDescent="0.2">
      <c r="A40" s="72">
        <f>IF(Enhmod="Disabled",$I$44,$I$50)</f>
        <v>1</v>
      </c>
      <c r="B40" s="65" t="s">
        <v>31</v>
      </c>
      <c r="C40" s="72">
        <f>$I$17</f>
        <v>20</v>
      </c>
      <c r="D40" s="71" t="s">
        <v>31</v>
      </c>
      <c r="E40" s="73">
        <f ca="1">OFFSET(K40,0,L41)</f>
        <v>9.9550000000000004E-7</v>
      </c>
      <c r="F40" s="66">
        <f>IF(((Power&gt;=A40) * (Power&lt;=C40)),E40,0)</f>
        <v>0</v>
      </c>
      <c r="G40" s="85">
        <f>+F40*(IF((B40="n")*(Power=A40),0,1)*(IF((D40="n")*(Power=C40),0,1)))</f>
        <v>0</v>
      </c>
      <c r="I40" s="74" t="s">
        <v>74</v>
      </c>
      <c r="J40" s="94"/>
      <c r="K40" s="87" t="s">
        <v>92</v>
      </c>
      <c r="L40" s="73">
        <v>1.55E-6</v>
      </c>
      <c r="M40" s="73">
        <v>9.9550000000000004E-7</v>
      </c>
      <c r="N40" s="73">
        <v>1.361E-6</v>
      </c>
    </row>
    <row r="41" spans="1:14" x14ac:dyDescent="0.2">
      <c r="F41" s="65"/>
      <c r="I41" s="92">
        <v>-16</v>
      </c>
      <c r="J41" s="88"/>
      <c r="K41" s="61" t="s">
        <v>89</v>
      </c>
      <c r="L41" s="61">
        <f>IF(Temp&lt;13,1,IF(Temp&gt;38,3,2))</f>
        <v>2</v>
      </c>
    </row>
    <row r="43" spans="1:14" ht="25.5" x14ac:dyDescent="0.2">
      <c r="A43" s="74" t="s">
        <v>68</v>
      </c>
      <c r="B43" s="74"/>
      <c r="C43" s="75">
        <f ca="1">+SUM(G38:G42)</f>
        <v>4.2939999999999999E-8</v>
      </c>
      <c r="D43" s="76"/>
      <c r="E43" s="69"/>
      <c r="F43" s="71"/>
      <c r="G43" s="93"/>
      <c r="I43" s="74" t="s">
        <v>75</v>
      </c>
      <c r="J43" s="94"/>
    </row>
    <row r="44" spans="1:14" x14ac:dyDescent="0.2">
      <c r="A44" s="62" t="s">
        <v>6</v>
      </c>
      <c r="B44" s="62"/>
      <c r="C44" s="76">
        <f>0.001*10^(Power/10)</f>
        <v>1E-3</v>
      </c>
      <c r="D44" s="76"/>
      <c r="I44" s="92">
        <v>4</v>
      </c>
      <c r="J44" s="88"/>
    </row>
    <row r="45" spans="1:14" x14ac:dyDescent="0.2">
      <c r="A45" s="62" t="s">
        <v>29</v>
      </c>
      <c r="B45" s="62"/>
      <c r="C45" s="77">
        <f ca="1">+C43/C44*100</f>
        <v>4.2940000000000001E-3</v>
      </c>
      <c r="D45" s="77"/>
    </row>
    <row r="46" spans="1:14" ht="25.5" x14ac:dyDescent="0.2">
      <c r="I46" s="74" t="s">
        <v>76</v>
      </c>
      <c r="J46" s="94"/>
    </row>
    <row r="47" spans="1:14" x14ac:dyDescent="0.2">
      <c r="I47" s="92">
        <v>-19</v>
      </c>
      <c r="J47" s="88"/>
    </row>
    <row r="48" spans="1:14" x14ac:dyDescent="0.2">
      <c r="A48" s="62" t="s">
        <v>61</v>
      </c>
      <c r="B48" s="62"/>
      <c r="F48" s="65" t="s">
        <v>55</v>
      </c>
      <c r="G48" s="67" t="s">
        <v>56</v>
      </c>
    </row>
    <row r="49" spans="1:11" ht="25.5" x14ac:dyDescent="0.2">
      <c r="A49" s="65" t="s">
        <v>24</v>
      </c>
      <c r="B49" s="64" t="s">
        <v>30</v>
      </c>
      <c r="C49" s="65" t="s">
        <v>25</v>
      </c>
      <c r="D49" s="64" t="s">
        <v>30</v>
      </c>
      <c r="E49" s="65" t="s">
        <v>21</v>
      </c>
      <c r="F49" s="65"/>
      <c r="I49" s="74" t="s">
        <v>77</v>
      </c>
      <c r="J49" s="63"/>
    </row>
    <row r="50" spans="1:11" x14ac:dyDescent="0.2">
      <c r="A50" s="72">
        <f>$I$20</f>
        <v>-70</v>
      </c>
      <c r="B50" s="71" t="s">
        <v>31</v>
      </c>
      <c r="C50" s="72">
        <f>IF(Enhmod="Disabled",$I$41,$I$47)</f>
        <v>-19</v>
      </c>
      <c r="D50" s="65" t="s">
        <v>32</v>
      </c>
      <c r="E50" s="69">
        <v>0.08</v>
      </c>
      <c r="F50" s="65">
        <f>IF(((Power&gt;=A50) * (Power&lt;=C50)),E50,0)</f>
        <v>0</v>
      </c>
      <c r="G50" s="67">
        <f>+F50*(IF((B50="n")*(Power=A50),0,1)*(IF((D50="n")*(Power=C50),0,1)))</f>
        <v>0</v>
      </c>
      <c r="I50" s="92">
        <v>1</v>
      </c>
      <c r="J50" s="88"/>
    </row>
    <row r="51" spans="1:11" x14ac:dyDescent="0.2">
      <c r="A51" s="72">
        <f>IF(Enhmod="Disabled",$I$41,$I$47)</f>
        <v>-19</v>
      </c>
      <c r="B51" s="65" t="s">
        <v>31</v>
      </c>
      <c r="C51" s="72">
        <f>IF(Enhmod="Disabled",$I$44,$I$50)</f>
        <v>1</v>
      </c>
      <c r="D51" s="65" t="s">
        <v>32</v>
      </c>
      <c r="E51" s="69">
        <v>8.7999999999999995E-2</v>
      </c>
      <c r="F51" s="65">
        <f>IF(((Power&gt;=A51) * (Power&lt;=C51)),E51,0)</f>
        <v>8.7999999999999995E-2</v>
      </c>
      <c r="G51" s="67">
        <f>+F51*(IF((B51="n")*(Power=A51),0,1)*(IF((D51="n")*(Power=C51),0,1)))</f>
        <v>8.7999999999999995E-2</v>
      </c>
    </row>
    <row r="52" spans="1:11" x14ac:dyDescent="0.2">
      <c r="A52" s="72">
        <f>IF(Enhmod="Disabled",$I$44,$I$50)</f>
        <v>1</v>
      </c>
      <c r="B52" s="65" t="s">
        <v>31</v>
      </c>
      <c r="C52" s="72">
        <f>$I$17</f>
        <v>20</v>
      </c>
      <c r="D52" s="71" t="s">
        <v>31</v>
      </c>
      <c r="E52" s="69">
        <v>6.7000000000000004E-2</v>
      </c>
      <c r="F52" s="65">
        <f>IF(((Power&gt;=A52) * (Power&lt;=C52)),E52,0)</f>
        <v>0</v>
      </c>
      <c r="G52" s="67">
        <f>+F52*(IF((B52="n")*(Power=A52),0,1)*(IF((D52="n")*(Power=C52),0,1)))</f>
        <v>0</v>
      </c>
      <c r="I52" s="62" t="s">
        <v>63</v>
      </c>
      <c r="J52" s="63"/>
    </row>
    <row r="53" spans="1:11" x14ac:dyDescent="0.2">
      <c r="A53" s="65"/>
      <c r="B53" s="65"/>
      <c r="C53" s="71"/>
      <c r="D53" s="71"/>
      <c r="E53" s="71"/>
      <c r="F53" s="71"/>
      <c r="G53" s="64"/>
      <c r="I53" s="92">
        <v>140</v>
      </c>
      <c r="J53" s="95"/>
    </row>
    <row r="54" spans="1:11" x14ac:dyDescent="0.2">
      <c r="H54" s="70"/>
      <c r="K54" s="70"/>
    </row>
    <row r="55" spans="1:11" x14ac:dyDescent="0.2">
      <c r="A55" s="74" t="s">
        <v>59</v>
      </c>
      <c r="B55" s="74"/>
      <c r="C55" s="68">
        <f>+SUM(G50:G54)</f>
        <v>8.7999999999999995E-2</v>
      </c>
      <c r="D55" s="77"/>
      <c r="E55" s="69"/>
      <c r="F55" s="78"/>
      <c r="G55" s="69"/>
      <c r="I55" s="62" t="s">
        <v>27</v>
      </c>
    </row>
    <row r="56" spans="1:11" x14ac:dyDescent="0.2">
      <c r="A56" s="62" t="s">
        <v>60</v>
      </c>
      <c r="B56" s="62"/>
      <c r="C56" s="77">
        <f>((10^(C55/10) -1)*100)</f>
        <v>2.046943194219919</v>
      </c>
      <c r="D56" s="77"/>
      <c r="I56" s="96">
        <v>65536</v>
      </c>
    </row>
    <row r="59" spans="1:11" x14ac:dyDescent="0.2">
      <c r="A59" s="62" t="s">
        <v>4</v>
      </c>
      <c r="B59" s="62"/>
      <c r="F59" s="65" t="s">
        <v>55</v>
      </c>
      <c r="G59" s="67" t="s">
        <v>56</v>
      </c>
    </row>
    <row r="60" spans="1:11" x14ac:dyDescent="0.2">
      <c r="A60" s="65" t="s">
        <v>22</v>
      </c>
      <c r="B60" s="64" t="s">
        <v>30</v>
      </c>
      <c r="C60" s="65" t="s">
        <v>23</v>
      </c>
      <c r="D60" s="64" t="s">
        <v>30</v>
      </c>
      <c r="E60" s="65" t="s">
        <v>21</v>
      </c>
      <c r="F60" s="65"/>
    </row>
    <row r="61" spans="1:11" x14ac:dyDescent="0.2">
      <c r="A61" s="65">
        <f>$I$26</f>
        <v>0.01</v>
      </c>
      <c r="B61" s="65" t="s">
        <v>31</v>
      </c>
      <c r="C61" s="65">
        <v>0.15</v>
      </c>
      <c r="D61" s="65" t="s">
        <v>31</v>
      </c>
      <c r="E61" s="65">
        <v>-22.12</v>
      </c>
      <c r="F61" s="65">
        <f>IF(((Freq&gt;=A61) * (Freq&lt;=C61)),E61,0)</f>
        <v>0</v>
      </c>
      <c r="G61" s="67">
        <f>+F61*(IF((B61="n")*(Freq=A61),0,1)*(IF((D61="n")*(Freq=C61),0,1)))</f>
        <v>0</v>
      </c>
      <c r="I61" s="79"/>
      <c r="J61" s="80"/>
    </row>
    <row r="62" spans="1:11" x14ac:dyDescent="0.2">
      <c r="A62" s="65">
        <v>0.15</v>
      </c>
      <c r="B62" s="65" t="s">
        <v>32</v>
      </c>
      <c r="C62" s="65">
        <v>2</v>
      </c>
      <c r="D62" s="65" t="s">
        <v>31</v>
      </c>
      <c r="E62" s="65">
        <v>-24.94</v>
      </c>
      <c r="F62" s="65">
        <f>IF(((Freq&gt;=A62) * (Freq&lt;=C62)),E62,0)</f>
        <v>0</v>
      </c>
      <c r="G62" s="67">
        <f>+F62*(IF((B62="n")*(Freq=A62),0,1)*(IF((D62="n")*(Freq=C62),0,1)))</f>
        <v>0</v>
      </c>
    </row>
    <row r="63" spans="1:11" x14ac:dyDescent="0.2">
      <c r="A63" s="65">
        <v>2</v>
      </c>
      <c r="B63" s="65" t="s">
        <v>32</v>
      </c>
      <c r="C63" s="65">
        <v>12.4</v>
      </c>
      <c r="D63" s="65" t="s">
        <v>31</v>
      </c>
      <c r="E63" s="65">
        <v>-20.079999999999998</v>
      </c>
      <c r="F63" s="65">
        <f>IF(((Freq&gt;=A63) * (Freq&lt;=C63)),E63,0)</f>
        <v>-20.079999999999998</v>
      </c>
      <c r="G63" s="67">
        <f>+F63*(IF((B63="n")*(Freq=A63),0,1)*(IF((D63="n")*(Freq=C63),0,1)))</f>
        <v>-20.079999999999998</v>
      </c>
    </row>
    <row r="64" spans="1:11" x14ac:dyDescent="0.2">
      <c r="A64" s="65">
        <v>12.4</v>
      </c>
      <c r="B64" s="65" t="s">
        <v>32</v>
      </c>
      <c r="C64" s="65">
        <v>18</v>
      </c>
      <c r="D64" s="65" t="s">
        <v>31</v>
      </c>
      <c r="E64" s="65">
        <v>-19.079999999999998</v>
      </c>
      <c r="F64" s="65">
        <f>IF(((Freq&gt;=A64) * (Freq&lt;=C64)),E64,0)</f>
        <v>0</v>
      </c>
      <c r="G64" s="67">
        <f>+F64*(IF((B64="n")*(Freq=A64),0,1)*(IF((D64="n")*(Freq=C64),0,1)))</f>
        <v>0</v>
      </c>
    </row>
    <row r="65" spans="1:16" x14ac:dyDescent="0.2">
      <c r="A65" s="65"/>
      <c r="B65" s="65"/>
      <c r="C65" s="65"/>
      <c r="D65" s="65"/>
      <c r="E65" s="65"/>
      <c r="F65" s="65"/>
      <c r="G65" s="67"/>
    </row>
    <row r="66" spans="1:16" x14ac:dyDescent="0.2">
      <c r="A66" s="62" t="s">
        <v>38</v>
      </c>
      <c r="B66" s="62"/>
      <c r="C66" s="77">
        <f>SUM(G61:G65)</f>
        <v>-20.079999999999998</v>
      </c>
      <c r="D66" s="68"/>
      <c r="E66" s="69"/>
      <c r="F66" s="69"/>
      <c r="G66" s="81"/>
    </row>
    <row r="67" spans="1:16" x14ac:dyDescent="0.2">
      <c r="A67" s="62" t="s">
        <v>4</v>
      </c>
      <c r="B67" s="62"/>
      <c r="C67" s="77">
        <f>(((10^(C66/20)))+1)/((-(10^(C66/20)))+1)</f>
        <v>1.2199608085523661</v>
      </c>
      <c r="D67" s="77"/>
    </row>
    <row r="69" spans="1:16" x14ac:dyDescent="0.2">
      <c r="H69" s="70"/>
      <c r="I69" s="78"/>
      <c r="J69" s="81"/>
      <c r="K69" s="70"/>
    </row>
    <row r="79" spans="1:16" x14ac:dyDescent="0.2">
      <c r="J79" s="64"/>
      <c r="L79" s="64"/>
      <c r="M79" s="64"/>
      <c r="N79" s="64"/>
      <c r="O79" s="64"/>
      <c r="P79" s="64"/>
    </row>
    <row r="83" spans="8:11" x14ac:dyDescent="0.2">
      <c r="I83" s="78"/>
      <c r="J83" s="81"/>
    </row>
    <row r="84" spans="8:11" x14ac:dyDescent="0.2">
      <c r="H84" s="81"/>
      <c r="K84" s="81"/>
    </row>
    <row r="90" spans="8:11" x14ac:dyDescent="0.2">
      <c r="I90" s="65"/>
      <c r="J90" s="67"/>
    </row>
    <row r="91" spans="8:11" x14ac:dyDescent="0.2">
      <c r="I91" s="65"/>
      <c r="J91" s="67"/>
    </row>
    <row r="92" spans="8:11" x14ac:dyDescent="0.2">
      <c r="I92" s="65"/>
      <c r="J92" s="67"/>
    </row>
    <row r="93" spans="8:11" x14ac:dyDescent="0.2">
      <c r="I93" s="65"/>
      <c r="J93" s="67"/>
    </row>
    <row r="94" spans="8:11" x14ac:dyDescent="0.2">
      <c r="H94" s="64"/>
      <c r="K94" s="64"/>
    </row>
    <row r="95" spans="8:11" x14ac:dyDescent="0.2">
      <c r="I95" s="65"/>
      <c r="J95" s="67"/>
    </row>
    <row r="96" spans="8:11" x14ac:dyDescent="0.2">
      <c r="I96" s="69"/>
      <c r="J96" s="70"/>
    </row>
    <row r="97" spans="8:11" x14ac:dyDescent="0.2">
      <c r="I97" s="69"/>
      <c r="J97" s="70"/>
    </row>
    <row r="98" spans="8:11" x14ac:dyDescent="0.2">
      <c r="H98" s="81"/>
      <c r="I98" s="69"/>
      <c r="J98" s="70"/>
      <c r="K98" s="81"/>
    </row>
    <row r="105" spans="8:11" x14ac:dyDescent="0.2">
      <c r="H105" s="67"/>
      <c r="K105" s="67"/>
    </row>
    <row r="106" spans="8:11" x14ac:dyDescent="0.2">
      <c r="H106" s="67"/>
      <c r="K106" s="67"/>
    </row>
    <row r="107" spans="8:11" x14ac:dyDescent="0.2">
      <c r="H107" s="67"/>
      <c r="K107" s="67"/>
    </row>
    <row r="108" spans="8:11" x14ac:dyDescent="0.2">
      <c r="H108" s="67"/>
      <c r="K108" s="67"/>
    </row>
    <row r="109" spans="8:11" x14ac:dyDescent="0.2">
      <c r="H109" s="70"/>
      <c r="K109" s="70"/>
    </row>
  </sheetData>
  <sheetProtection algorithmName="SHA-512" hashValue="huCxxr/OSB6hV8+X2OFEDCqt5x/vkzrkzQKbKdms6aJG2dPY+2e3oXKHTyXinKPljJVXZKQoDNgwAO7UJ0QHlA==" saltValue="jPRGFntp7UyOuZ35E7OFAQ==" spinCount="100000" sheet="1" objects="1" scenarios="1" selectLockedCells="1" selectUnlockedCell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Normal="100" workbookViewId="0">
      <selection activeCell="C1" sqref="C1"/>
    </sheetView>
  </sheetViews>
  <sheetFormatPr defaultRowHeight="12.75" x14ac:dyDescent="0.2"/>
  <cols>
    <col min="1" max="1" width="15.7109375" style="64" customWidth="1"/>
    <col min="2" max="2" width="4.85546875" style="64" customWidth="1"/>
    <col min="3" max="3" width="12.28515625" style="64" customWidth="1"/>
    <col min="4" max="4" width="4.42578125" style="64" customWidth="1"/>
    <col min="5" max="5" width="9.42578125" style="64" bestFit="1" customWidth="1"/>
    <col min="6" max="6" width="11.5703125" style="64" customWidth="1"/>
    <col min="7" max="7" width="14.140625" style="64" customWidth="1"/>
    <col min="8" max="8" width="9.140625" style="64" customWidth="1"/>
    <col min="9" max="9" width="30.7109375" style="64" customWidth="1"/>
    <col min="10" max="10" width="9.5703125" style="64" bestFit="1" customWidth="1"/>
    <col min="11" max="11" width="10.5703125" style="64" bestFit="1" customWidth="1"/>
    <col min="12" max="12" width="14.28515625" style="64" bestFit="1" customWidth="1"/>
    <col min="13" max="13" width="9.7109375" style="64" bestFit="1" customWidth="1"/>
    <col min="14" max="14" width="10" style="64" bestFit="1" customWidth="1"/>
    <col min="15" max="15" width="15.28515625" style="64" bestFit="1" customWidth="1"/>
    <col min="16" max="16" width="10.7109375" style="64" bestFit="1" customWidth="1"/>
    <col min="17" max="17" width="10.28515625" style="64" bestFit="1" customWidth="1"/>
    <col min="18" max="18" width="9.140625" style="64"/>
    <col min="19" max="19" width="10.5703125" style="64" bestFit="1" customWidth="1"/>
    <col min="20" max="20" width="9.140625" style="64"/>
    <col min="21" max="16384" width="9.140625" style="61"/>
  </cols>
  <sheetData>
    <row r="1" spans="1:20" x14ac:dyDescent="0.2">
      <c r="A1" s="62" t="s">
        <v>95</v>
      </c>
      <c r="B1" s="62"/>
      <c r="F1" s="65" t="s">
        <v>55</v>
      </c>
      <c r="G1" s="65" t="s">
        <v>56</v>
      </c>
      <c r="I1" s="62"/>
      <c r="J1" s="62"/>
    </row>
    <row r="2" spans="1:20" x14ac:dyDescent="0.2">
      <c r="A2" s="65" t="s">
        <v>22</v>
      </c>
      <c r="B2" s="64" t="s">
        <v>30</v>
      </c>
      <c r="C2" s="65" t="s">
        <v>23</v>
      </c>
      <c r="D2" s="64" t="s">
        <v>30</v>
      </c>
      <c r="E2" s="65" t="s">
        <v>21</v>
      </c>
      <c r="F2" s="65"/>
      <c r="I2" s="83"/>
      <c r="J2" s="83"/>
      <c r="K2" s="62" t="s">
        <v>93</v>
      </c>
      <c r="L2" s="62" t="s">
        <v>107</v>
      </c>
      <c r="M2" s="62" t="s">
        <v>84</v>
      </c>
      <c r="N2" s="62" t="s">
        <v>85</v>
      </c>
      <c r="O2" s="62" t="s">
        <v>108</v>
      </c>
      <c r="P2" s="62" t="s">
        <v>105</v>
      </c>
      <c r="Q2" s="62" t="s">
        <v>106</v>
      </c>
      <c r="S2" s="62" t="s">
        <v>109</v>
      </c>
      <c r="T2" s="62" t="s">
        <v>110</v>
      </c>
    </row>
    <row r="3" spans="1:20" x14ac:dyDescent="0.2">
      <c r="A3" s="65">
        <f>$I$23</f>
        <v>0.01</v>
      </c>
      <c r="B3" s="65" t="s">
        <v>31</v>
      </c>
      <c r="C3" s="65">
        <v>18</v>
      </c>
      <c r="D3" s="65" t="s">
        <v>31</v>
      </c>
      <c r="E3" s="65">
        <f ca="1">OFFSET(K3,0,L7)</f>
        <v>0.12</v>
      </c>
      <c r="F3" s="66">
        <f ca="1">IF(((Freq&gt;=A3) * (Freq&lt;=C3)),E3,0)</f>
        <v>0.12</v>
      </c>
      <c r="G3" s="66">
        <f ca="1">+F3*(IF((B3="n")*(Freq=A3),0,1)*(IF((D3="n")*(Freq=C3),0,1)))</f>
        <v>0.12</v>
      </c>
      <c r="I3" s="83"/>
      <c r="J3" s="83"/>
      <c r="K3" s="97" t="s">
        <v>79</v>
      </c>
      <c r="L3" s="65">
        <v>0.18</v>
      </c>
      <c r="M3" s="65">
        <v>0.15</v>
      </c>
      <c r="N3" s="65">
        <v>0.15</v>
      </c>
      <c r="O3" s="65">
        <v>0.14000000000000001</v>
      </c>
      <c r="P3" s="65">
        <v>0.12</v>
      </c>
      <c r="Q3" s="65">
        <v>0.12</v>
      </c>
      <c r="S3" s="64">
        <v>0.01</v>
      </c>
      <c r="T3" s="64">
        <v>2.2999999999999998</v>
      </c>
    </row>
    <row r="4" spans="1:20" x14ac:dyDescent="0.2">
      <c r="A4" s="65">
        <v>18</v>
      </c>
      <c r="B4" s="65" t="s">
        <v>32</v>
      </c>
      <c r="C4" s="65">
        <v>50</v>
      </c>
      <c r="D4" s="65" t="s">
        <v>31</v>
      </c>
      <c r="E4" s="65">
        <f ca="1">OFFSET(K4,0,L7)</f>
        <v>0.14000000000000001</v>
      </c>
      <c r="F4" s="66">
        <f>IF(((Freq&gt;=A4) * (Freq&lt;=C4)),E4,0)</f>
        <v>0</v>
      </c>
      <c r="G4" s="66">
        <f>+F4*(IF((B4="n")*(Freq=A4),0,1)*(IF((D4="n")*(Freq=C4),0,1)))</f>
        <v>0</v>
      </c>
      <c r="H4" s="65"/>
      <c r="I4" s="65"/>
      <c r="J4" s="65"/>
      <c r="K4" s="97" t="s">
        <v>80</v>
      </c>
      <c r="L4" s="65">
        <v>0.21</v>
      </c>
      <c r="M4" s="65">
        <v>0.17</v>
      </c>
      <c r="N4" s="65">
        <v>0.17</v>
      </c>
      <c r="O4" s="65">
        <v>0.17</v>
      </c>
      <c r="P4" s="65">
        <v>0.14000000000000001</v>
      </c>
      <c r="Q4" s="65">
        <v>0.14000000000000001</v>
      </c>
      <c r="S4" s="98">
        <v>0.05</v>
      </c>
      <c r="T4" s="64">
        <v>1.5</v>
      </c>
    </row>
    <row r="5" spans="1:20" x14ac:dyDescent="0.2">
      <c r="A5" s="65"/>
      <c r="B5" s="65"/>
      <c r="C5" s="65"/>
      <c r="D5" s="65"/>
      <c r="E5" s="65"/>
      <c r="F5" s="66"/>
      <c r="G5" s="66"/>
      <c r="H5" s="65"/>
      <c r="I5" s="62"/>
      <c r="J5" s="62"/>
      <c r="K5" s="99"/>
      <c r="L5" s="65"/>
      <c r="M5" s="65"/>
      <c r="N5" s="65"/>
      <c r="O5" s="65"/>
      <c r="P5" s="65"/>
      <c r="Q5" s="65"/>
      <c r="S5" s="98">
        <v>0.1</v>
      </c>
      <c r="T5" s="64">
        <v>1.5</v>
      </c>
    </row>
    <row r="6" spans="1:20" x14ac:dyDescent="0.2">
      <c r="A6" s="65">
        <f>Freq</f>
        <v>7</v>
      </c>
      <c r="B6" s="65"/>
      <c r="C6" s="65"/>
      <c r="D6" s="65"/>
      <c r="E6" s="65"/>
      <c r="F6" s="66"/>
      <c r="G6" s="66">
        <f ca="1">FORECAST(A6,OFFSET(T3:T57,MATCH(A6,S3:S57,1)-1,0,2),OFFSET(S3:S57,MATCH(A6,S3:S57,1)-1,0,2))</f>
        <v>1.5</v>
      </c>
      <c r="H6" s="65"/>
      <c r="I6" s="83"/>
      <c r="J6" s="83"/>
      <c r="K6" s="99"/>
      <c r="L6" s="65"/>
      <c r="M6" s="65"/>
      <c r="N6" s="65"/>
      <c r="O6" s="65"/>
      <c r="P6" s="65"/>
      <c r="Q6" s="65"/>
      <c r="S6" s="64">
        <v>0.3</v>
      </c>
      <c r="T6" s="64">
        <v>1.5</v>
      </c>
    </row>
    <row r="7" spans="1:20" x14ac:dyDescent="0.2">
      <c r="A7" s="65"/>
      <c r="C7" s="65"/>
      <c r="H7" s="65"/>
      <c r="I7" s="83"/>
      <c r="J7" s="83"/>
      <c r="K7" s="64" t="s">
        <v>89</v>
      </c>
      <c r="L7" s="64">
        <f>IF(Power&gt;=C14,IF(Power&gt;15,1,2),3)+IF(AND(Temp&lt;=50,Temp&gt;=30),3,0)</f>
        <v>5</v>
      </c>
      <c r="S7" s="64">
        <v>0.5</v>
      </c>
      <c r="T7" s="64">
        <v>1.5</v>
      </c>
    </row>
    <row r="8" spans="1:20" x14ac:dyDescent="0.2">
      <c r="A8" s="62" t="s">
        <v>111</v>
      </c>
      <c r="B8" s="62"/>
      <c r="C8" s="68">
        <f ca="1">SUM(G3:G5)</f>
        <v>0.12</v>
      </c>
      <c r="D8" s="68"/>
      <c r="E8" s="69"/>
      <c r="F8" s="69"/>
      <c r="G8" s="69"/>
      <c r="H8" s="65"/>
      <c r="K8" s="65"/>
      <c r="S8" s="64">
        <v>1</v>
      </c>
      <c r="T8" s="64">
        <v>1.5</v>
      </c>
    </row>
    <row r="9" spans="1:20" x14ac:dyDescent="0.2">
      <c r="A9" s="62" t="s">
        <v>58</v>
      </c>
      <c r="B9" s="62"/>
      <c r="C9" s="77">
        <f ca="1">SQRT(SUM(G3:G5)^2+G6^2)</f>
        <v>1.5047923444781344</v>
      </c>
      <c r="D9" s="77"/>
      <c r="I9" s="62"/>
      <c r="J9" s="62"/>
      <c r="S9" s="64">
        <f>S8+1</f>
        <v>2</v>
      </c>
      <c r="T9" s="64">
        <v>1.5</v>
      </c>
    </row>
    <row r="10" spans="1:20" x14ac:dyDescent="0.2">
      <c r="H10" s="65"/>
      <c r="I10" s="83"/>
      <c r="J10" s="83"/>
      <c r="K10" s="65"/>
      <c r="M10" s="65"/>
      <c r="N10" s="65"/>
      <c r="O10" s="65"/>
      <c r="P10" s="65"/>
      <c r="Q10" s="65"/>
      <c r="S10" s="64">
        <f t="shared" ref="S10:S57" si="0">S9+1</f>
        <v>3</v>
      </c>
      <c r="T10" s="64">
        <v>1.5</v>
      </c>
    </row>
    <row r="11" spans="1:20" x14ac:dyDescent="0.2">
      <c r="H11" s="69"/>
      <c r="I11" s="83"/>
      <c r="J11" s="83"/>
      <c r="K11" s="65"/>
      <c r="M11" s="65"/>
      <c r="N11" s="65"/>
      <c r="O11" s="65"/>
      <c r="P11" s="65"/>
      <c r="Q11" s="65"/>
      <c r="S11" s="64">
        <f t="shared" si="0"/>
        <v>4</v>
      </c>
      <c r="T11" s="64">
        <v>1.5</v>
      </c>
    </row>
    <row r="12" spans="1:20" x14ac:dyDescent="0.2">
      <c r="A12" s="62" t="s">
        <v>39</v>
      </c>
      <c r="B12" s="62"/>
      <c r="F12" s="65" t="s">
        <v>55</v>
      </c>
      <c r="G12" s="65" t="s">
        <v>56</v>
      </c>
      <c r="S12" s="64">
        <f t="shared" si="0"/>
        <v>5</v>
      </c>
      <c r="T12" s="64">
        <v>1.5</v>
      </c>
    </row>
    <row r="13" spans="1:20" x14ac:dyDescent="0.2">
      <c r="A13" s="65" t="s">
        <v>24</v>
      </c>
      <c r="B13" s="64" t="s">
        <v>30</v>
      </c>
      <c r="C13" s="65" t="s">
        <v>25</v>
      </c>
      <c r="D13" s="64" t="s">
        <v>30</v>
      </c>
      <c r="E13" s="65" t="s">
        <v>26</v>
      </c>
      <c r="F13" s="65"/>
      <c r="I13" s="62" t="s">
        <v>48</v>
      </c>
      <c r="J13" s="62"/>
      <c r="K13" s="62" t="s">
        <v>0</v>
      </c>
      <c r="L13" s="62" t="s">
        <v>103</v>
      </c>
      <c r="M13" s="62" t="s">
        <v>102</v>
      </c>
      <c r="N13" s="62" t="s">
        <v>104</v>
      </c>
      <c r="S13" s="64">
        <f t="shared" si="0"/>
        <v>6</v>
      </c>
      <c r="T13" s="64">
        <v>1.5</v>
      </c>
    </row>
    <row r="14" spans="1:20" x14ac:dyDescent="0.2">
      <c r="A14" s="72">
        <f>$I$17</f>
        <v>-70</v>
      </c>
      <c r="B14" s="71" t="s">
        <v>31</v>
      </c>
      <c r="C14" s="72">
        <f>$I$38</f>
        <v>-20</v>
      </c>
      <c r="D14" s="65" t="s">
        <v>31</v>
      </c>
      <c r="E14" s="73">
        <v>4.2265761840998442E-8</v>
      </c>
      <c r="F14" s="73">
        <f>IF(((Power&gt;=A14) * (Power&lt;=C14)),E14,0)</f>
        <v>0</v>
      </c>
      <c r="G14" s="73">
        <f>+F14*(IF((B14="n")*(Power=A14),0,1)*(IF((D14="n")*(Power=C14),0,1)))</f>
        <v>0</v>
      </c>
      <c r="I14" s="92">
        <v>20</v>
      </c>
      <c r="J14" s="92"/>
      <c r="K14" s="97" t="s">
        <v>90</v>
      </c>
      <c r="L14" s="73">
        <f>M14*1.05</f>
        <v>3.7064999999999997E-11</v>
      </c>
      <c r="M14" s="73">
        <v>3.5299999999999997E-11</v>
      </c>
      <c r="N14" s="73">
        <f>M14*1.05</f>
        <v>3.7064999999999997E-11</v>
      </c>
      <c r="S14" s="64">
        <f t="shared" si="0"/>
        <v>7</v>
      </c>
      <c r="T14" s="64">
        <v>1.5</v>
      </c>
    </row>
    <row r="15" spans="1:20" x14ac:dyDescent="0.2">
      <c r="A15" s="72">
        <f>$I$38</f>
        <v>-20</v>
      </c>
      <c r="B15" s="65" t="s">
        <v>32</v>
      </c>
      <c r="C15" s="72">
        <f>$I$41</f>
        <v>0</v>
      </c>
      <c r="D15" s="65" t="s">
        <v>31</v>
      </c>
      <c r="E15" s="73">
        <v>7.7946206681274749E-8</v>
      </c>
      <c r="F15" s="66">
        <f>IF(((Power&gt;=A15) * (Power&lt;=C15)),E15,0)</f>
        <v>7.7946206681274749E-8</v>
      </c>
      <c r="G15" s="66">
        <f>+F15*(IF((B15="n")*(Power=A15),0,1)*(IF((D15="n")*(Power=C15),0,1)))</f>
        <v>7.7946206681274749E-8</v>
      </c>
      <c r="I15" s="83"/>
      <c r="J15" s="83"/>
      <c r="K15" s="97" t="s">
        <v>91</v>
      </c>
      <c r="L15" s="73">
        <f t="shared" ref="L15:L16" si="1">M15*1.05</f>
        <v>6.8355000000000006E-11</v>
      </c>
      <c r="M15" s="73">
        <v>6.51E-11</v>
      </c>
      <c r="N15" s="73">
        <f t="shared" ref="N15:N16" si="2">M15*1.05</f>
        <v>6.8355000000000006E-11</v>
      </c>
      <c r="S15" s="64">
        <f t="shared" si="0"/>
        <v>8</v>
      </c>
      <c r="T15" s="64">
        <v>1.5</v>
      </c>
    </row>
    <row r="16" spans="1:20" x14ac:dyDescent="0.2">
      <c r="A16" s="72">
        <f>$I$41</f>
        <v>0</v>
      </c>
      <c r="B16" s="65" t="s">
        <v>32</v>
      </c>
      <c r="C16" s="72">
        <f>$I$14</f>
        <v>20</v>
      </c>
      <c r="D16" s="71" t="s">
        <v>31</v>
      </c>
      <c r="E16" s="73">
        <v>7.5431812917362665E-7</v>
      </c>
      <c r="F16" s="66">
        <f>IF(((Power&gt;=A16) * (Power&lt;=C16)),E16,0)</f>
        <v>7.5431812917362665E-7</v>
      </c>
      <c r="G16" s="66">
        <f>+F16*(IF((B16="n")*(Power=A16),0,1)*(IF((D16="n")*(Power=C16),0,1)))</f>
        <v>0</v>
      </c>
      <c r="I16" s="62" t="s">
        <v>71</v>
      </c>
      <c r="J16" s="62"/>
      <c r="K16" s="99" t="s">
        <v>92</v>
      </c>
      <c r="L16" s="73">
        <f t="shared" si="1"/>
        <v>6.6150000000000004E-10</v>
      </c>
      <c r="M16" s="73">
        <v>6.3E-10</v>
      </c>
      <c r="N16" s="73">
        <f t="shared" si="2"/>
        <v>6.6150000000000004E-10</v>
      </c>
      <c r="S16" s="64">
        <f t="shared" si="0"/>
        <v>9</v>
      </c>
      <c r="T16" s="64">
        <v>1.5</v>
      </c>
    </row>
    <row r="17" spans="1:20" x14ac:dyDescent="0.2">
      <c r="F17" s="65"/>
      <c r="I17" s="92">
        <v>-70</v>
      </c>
      <c r="J17" s="92"/>
      <c r="K17" s="64" t="s">
        <v>89</v>
      </c>
      <c r="L17" s="64">
        <f>IF(Temp&lt;25,1,IF(Temp&gt;35,3,2))</f>
        <v>2</v>
      </c>
      <c r="M17" s="65"/>
      <c r="N17" s="65"/>
      <c r="S17" s="64">
        <f t="shared" si="0"/>
        <v>10</v>
      </c>
      <c r="T17" s="64">
        <v>1.5</v>
      </c>
    </row>
    <row r="18" spans="1:20" x14ac:dyDescent="0.2">
      <c r="K18" s="65"/>
      <c r="S18" s="64">
        <f t="shared" si="0"/>
        <v>11</v>
      </c>
      <c r="T18" s="64">
        <v>1.5</v>
      </c>
    </row>
    <row r="19" spans="1:20" ht="27.75" x14ac:dyDescent="0.2">
      <c r="A19" s="74" t="s">
        <v>114</v>
      </c>
      <c r="B19" s="74"/>
      <c r="C19" s="75">
        <f>SUM(G14:G18)/SQRT($I$45*Aperture)</f>
        <v>1.4730448465678159E-9</v>
      </c>
      <c r="D19" s="76"/>
      <c r="E19" s="69"/>
      <c r="F19" s="71"/>
      <c r="G19" s="73"/>
      <c r="I19" s="62"/>
      <c r="J19" s="62"/>
      <c r="K19" s="65"/>
      <c r="S19" s="64">
        <f t="shared" si="0"/>
        <v>12</v>
      </c>
      <c r="T19" s="64">
        <v>1.5</v>
      </c>
    </row>
    <row r="20" spans="1:20" x14ac:dyDescent="0.2">
      <c r="A20" s="62" t="s">
        <v>6</v>
      </c>
      <c r="B20" s="62"/>
      <c r="C20" s="76">
        <f>0.001*10^(Power/10)</f>
        <v>1E-3</v>
      </c>
      <c r="D20" s="76"/>
      <c r="I20" s="92"/>
      <c r="J20" s="92"/>
      <c r="K20" s="65"/>
      <c r="S20" s="64">
        <f t="shared" si="0"/>
        <v>13</v>
      </c>
      <c r="T20" s="64">
        <v>1.5</v>
      </c>
    </row>
    <row r="21" spans="1:20" x14ac:dyDescent="0.2">
      <c r="A21" s="62" t="s">
        <v>52</v>
      </c>
      <c r="B21" s="62"/>
      <c r="C21" s="77">
        <f>+C19/C20*100</f>
        <v>1.473044846567816E-4</v>
      </c>
      <c r="D21" s="77"/>
      <c r="K21" s="65"/>
      <c r="S21" s="64">
        <f t="shared" si="0"/>
        <v>14</v>
      </c>
      <c r="T21" s="64">
        <v>1.5</v>
      </c>
    </row>
    <row r="22" spans="1:20" x14ac:dyDescent="0.2">
      <c r="I22" s="62" t="s">
        <v>72</v>
      </c>
      <c r="J22" s="62"/>
      <c r="S22" s="64">
        <f t="shared" si="0"/>
        <v>15</v>
      </c>
      <c r="T22" s="64">
        <v>1.5</v>
      </c>
    </row>
    <row r="23" spans="1:20" x14ac:dyDescent="0.2">
      <c r="I23" s="92">
        <v>0.01</v>
      </c>
      <c r="J23" s="92"/>
      <c r="S23" s="64">
        <f t="shared" si="0"/>
        <v>16</v>
      </c>
      <c r="T23" s="64">
        <v>1.5</v>
      </c>
    </row>
    <row r="24" spans="1:20" x14ac:dyDescent="0.2">
      <c r="A24" s="62" t="s">
        <v>11</v>
      </c>
      <c r="B24" s="62"/>
      <c r="F24" s="65" t="s">
        <v>55</v>
      </c>
      <c r="G24" s="65" t="s">
        <v>56</v>
      </c>
      <c r="S24" s="64">
        <f t="shared" si="0"/>
        <v>17</v>
      </c>
      <c r="T24" s="64">
        <v>1.5</v>
      </c>
    </row>
    <row r="25" spans="1:20" x14ac:dyDescent="0.2">
      <c r="A25" s="65" t="s">
        <v>24</v>
      </c>
      <c r="B25" s="64" t="s">
        <v>30</v>
      </c>
      <c r="C25" s="65" t="s">
        <v>25</v>
      </c>
      <c r="D25" s="64" t="s">
        <v>30</v>
      </c>
      <c r="E25" s="65" t="s">
        <v>26</v>
      </c>
      <c r="F25" s="65"/>
      <c r="H25" s="69"/>
      <c r="I25" s="83"/>
      <c r="J25" s="62"/>
      <c r="K25" s="62" t="s">
        <v>94</v>
      </c>
      <c r="L25" s="62" t="s">
        <v>103</v>
      </c>
      <c r="M25" s="62" t="s">
        <v>102</v>
      </c>
      <c r="N25" s="62" t="s">
        <v>104</v>
      </c>
      <c r="S25" s="64">
        <f t="shared" si="0"/>
        <v>18</v>
      </c>
      <c r="T25" s="64">
        <v>1.5</v>
      </c>
    </row>
    <row r="26" spans="1:20" x14ac:dyDescent="0.2">
      <c r="A26" s="72">
        <f>$I$17</f>
        <v>-70</v>
      </c>
      <c r="B26" s="71" t="s">
        <v>31</v>
      </c>
      <c r="C26" s="72">
        <f>$I$38</f>
        <v>-20</v>
      </c>
      <c r="D26" s="65" t="s">
        <v>31</v>
      </c>
      <c r="E26" s="73">
        <f ca="1">OFFSET(K26,0,L29)</f>
        <v>9.6800000000000004E-11</v>
      </c>
      <c r="F26" s="71">
        <f>IF(((Power&gt;=A26) * (Power&lt;=C26)),E26,0)</f>
        <v>0</v>
      </c>
      <c r="G26" s="71">
        <f>+F26*(IF((B26="n")*(Power=A26),0,1)*(IF((D26="n")*(Power=C26),0,1)))</f>
        <v>0</v>
      </c>
      <c r="J26" s="92"/>
      <c r="K26" s="97" t="s">
        <v>90</v>
      </c>
      <c r="L26" s="73">
        <f>M26*1.05</f>
        <v>1.0164000000000001E-10</v>
      </c>
      <c r="M26" s="73">
        <v>9.6800000000000004E-11</v>
      </c>
      <c r="N26" s="73">
        <f>M26*1.05</f>
        <v>1.0164000000000001E-10</v>
      </c>
      <c r="P26" s="100"/>
      <c r="S26" s="64">
        <f t="shared" si="0"/>
        <v>19</v>
      </c>
      <c r="T26" s="64">
        <v>2.65</v>
      </c>
    </row>
    <row r="27" spans="1:20" x14ac:dyDescent="0.2">
      <c r="A27" s="72">
        <f>$I$38</f>
        <v>-20</v>
      </c>
      <c r="B27" s="65" t="s">
        <v>32</v>
      </c>
      <c r="C27" s="72">
        <f>$I$41</f>
        <v>0</v>
      </c>
      <c r="D27" s="65" t="s">
        <v>31</v>
      </c>
      <c r="E27" s="73">
        <f ca="1">OFFSET(K27,0,L29)</f>
        <v>4.9499999999999997E-9</v>
      </c>
      <c r="F27" s="66">
        <f ca="1">IF(((Power&gt;=A27) * (Power&lt;=C27)),E27,0)</f>
        <v>4.9499999999999997E-9</v>
      </c>
      <c r="G27" s="66">
        <f ca="1">+F27*(IF((B27="n")*(Power=A27),0,1)*(IF((D27="n")*(Power=C27),0,1)))</f>
        <v>4.9499999999999997E-9</v>
      </c>
      <c r="K27" s="97" t="s">
        <v>91</v>
      </c>
      <c r="L27" s="73">
        <f t="shared" ref="L27:L28" si="3">M27*1.05</f>
        <v>5.1974999999999999E-9</v>
      </c>
      <c r="M27" s="73">
        <v>4.9499999999999997E-9</v>
      </c>
      <c r="N27" s="73">
        <f t="shared" ref="N27:N28" si="4">M27*1.05</f>
        <v>5.1974999999999999E-9</v>
      </c>
      <c r="P27" s="100"/>
      <c r="S27" s="64">
        <f t="shared" si="0"/>
        <v>20</v>
      </c>
      <c r="T27" s="64">
        <v>2.86</v>
      </c>
    </row>
    <row r="28" spans="1:20" x14ac:dyDescent="0.2">
      <c r="A28" s="72">
        <f>$I$41</f>
        <v>0</v>
      </c>
      <c r="B28" s="65" t="s">
        <v>32</v>
      </c>
      <c r="C28" s="72">
        <f>$I$14</f>
        <v>20</v>
      </c>
      <c r="D28" s="71" t="s">
        <v>31</v>
      </c>
      <c r="E28" s="73">
        <f ca="1">OFFSET(K28,0,L29)</f>
        <v>1.5600000000000001E-8</v>
      </c>
      <c r="F28" s="66">
        <f ca="1">IF(((Power&gt;=A28) * (Power&lt;=C28)),E28,0)</f>
        <v>1.5600000000000001E-8</v>
      </c>
      <c r="G28" s="66">
        <f ca="1">+F28*(IF((B28="n")*(Power=A28),0,1)*(IF((D28="n")*(Power=C28),0,1)))</f>
        <v>0</v>
      </c>
      <c r="J28" s="62"/>
      <c r="K28" s="99" t="s">
        <v>92</v>
      </c>
      <c r="L28" s="73">
        <f t="shared" si="3"/>
        <v>1.6380000000000002E-8</v>
      </c>
      <c r="M28" s="73">
        <v>1.5600000000000001E-8</v>
      </c>
      <c r="N28" s="73">
        <f t="shared" si="4"/>
        <v>1.6380000000000002E-8</v>
      </c>
      <c r="P28" s="100"/>
      <c r="S28" s="64">
        <f t="shared" si="0"/>
        <v>21</v>
      </c>
      <c r="T28" s="64">
        <v>2.71</v>
      </c>
    </row>
    <row r="29" spans="1:20" x14ac:dyDescent="0.2">
      <c r="F29" s="65"/>
      <c r="I29" s="83"/>
      <c r="J29" s="92"/>
      <c r="K29" s="64" t="s">
        <v>89</v>
      </c>
      <c r="L29" s="64">
        <f>IF(Temp&lt;25,1,IF(Temp&gt;35,3,2))</f>
        <v>2</v>
      </c>
      <c r="S29" s="64">
        <f t="shared" si="0"/>
        <v>22</v>
      </c>
      <c r="T29" s="64">
        <v>2.87</v>
      </c>
    </row>
    <row r="30" spans="1:20" x14ac:dyDescent="0.2">
      <c r="I30" s="83"/>
      <c r="J30" s="69"/>
      <c r="S30" s="64">
        <f t="shared" si="0"/>
        <v>23</v>
      </c>
      <c r="T30" s="64">
        <v>2.91</v>
      </c>
    </row>
    <row r="31" spans="1:20" x14ac:dyDescent="0.2">
      <c r="A31" s="74" t="s">
        <v>67</v>
      </c>
      <c r="B31" s="74"/>
      <c r="C31" s="75">
        <f ca="1">+SUM(G26:G30)</f>
        <v>4.9499999999999997E-9</v>
      </c>
      <c r="D31" s="76"/>
      <c r="E31" s="69"/>
      <c r="F31" s="71"/>
      <c r="G31" s="73"/>
      <c r="I31" s="83"/>
      <c r="J31" s="62"/>
      <c r="S31" s="64">
        <f t="shared" si="0"/>
        <v>24</v>
      </c>
      <c r="T31" s="64">
        <v>2.71</v>
      </c>
    </row>
    <row r="32" spans="1:20" x14ac:dyDescent="0.2">
      <c r="A32" s="62" t="s">
        <v>6</v>
      </c>
      <c r="B32" s="62"/>
      <c r="C32" s="76">
        <f>0.001*10^(Power/10)</f>
        <v>1E-3</v>
      </c>
      <c r="D32" s="76"/>
      <c r="I32" s="83"/>
      <c r="J32" s="92"/>
      <c r="S32" s="64">
        <f t="shared" si="0"/>
        <v>25</v>
      </c>
      <c r="T32" s="64">
        <v>3.09</v>
      </c>
    </row>
    <row r="33" spans="1:20" x14ac:dyDescent="0.2">
      <c r="A33" s="62" t="s">
        <v>28</v>
      </c>
      <c r="B33" s="62"/>
      <c r="C33" s="77">
        <f ca="1">+C31/C32*100</f>
        <v>4.9499999999999989E-4</v>
      </c>
      <c r="D33" s="77"/>
      <c r="I33" s="83"/>
      <c r="S33" s="64">
        <f t="shared" si="0"/>
        <v>26</v>
      </c>
      <c r="T33" s="64">
        <v>2.8</v>
      </c>
    </row>
    <row r="34" spans="1:20" x14ac:dyDescent="0.2">
      <c r="I34" s="83"/>
      <c r="J34" s="62"/>
      <c r="S34" s="64">
        <f t="shared" si="0"/>
        <v>27</v>
      </c>
      <c r="T34" s="64">
        <v>3.04</v>
      </c>
    </row>
    <row r="35" spans="1:20" x14ac:dyDescent="0.2">
      <c r="I35" s="83"/>
      <c r="J35" s="92"/>
      <c r="S35" s="64">
        <f t="shared" si="0"/>
        <v>28</v>
      </c>
      <c r="T35" s="64">
        <v>3.19</v>
      </c>
    </row>
    <row r="36" spans="1:20" x14ac:dyDescent="0.2">
      <c r="A36" s="62" t="s">
        <v>40</v>
      </c>
      <c r="B36" s="62"/>
      <c r="F36" s="65" t="s">
        <v>55</v>
      </c>
      <c r="G36" s="65" t="s">
        <v>56</v>
      </c>
      <c r="S36" s="64">
        <f t="shared" si="0"/>
        <v>29</v>
      </c>
      <c r="T36" s="64">
        <v>2.68</v>
      </c>
    </row>
    <row r="37" spans="1:20" x14ac:dyDescent="0.2">
      <c r="A37" s="65" t="s">
        <v>24</v>
      </c>
      <c r="B37" s="64" t="s">
        <v>30</v>
      </c>
      <c r="C37" s="65" t="s">
        <v>25</v>
      </c>
      <c r="D37" s="64" t="s">
        <v>30</v>
      </c>
      <c r="E37" s="65" t="s">
        <v>26</v>
      </c>
      <c r="F37" s="65"/>
      <c r="I37" s="74" t="s">
        <v>100</v>
      </c>
      <c r="J37" s="74"/>
      <c r="K37" s="62" t="s">
        <v>7</v>
      </c>
      <c r="L37" s="62" t="s">
        <v>103</v>
      </c>
      <c r="M37" s="62" t="s">
        <v>102</v>
      </c>
      <c r="N37" s="62" t="s">
        <v>104</v>
      </c>
      <c r="S37" s="64">
        <f t="shared" si="0"/>
        <v>30</v>
      </c>
      <c r="T37" s="64">
        <v>2.73</v>
      </c>
    </row>
    <row r="38" spans="1:20" x14ac:dyDescent="0.2">
      <c r="A38" s="72">
        <f>$I$17</f>
        <v>-70</v>
      </c>
      <c r="B38" s="71" t="s">
        <v>31</v>
      </c>
      <c r="C38" s="72">
        <f>$I$38</f>
        <v>-20</v>
      </c>
      <c r="D38" s="65" t="s">
        <v>31</v>
      </c>
      <c r="E38" s="73">
        <f t="shared" ref="E38" ca="1" si="5">OFFSET(K38,0,L41)</f>
        <v>8.9000000000000003E-11</v>
      </c>
      <c r="F38" s="71">
        <f>IF(((Power&gt;=A38) * (Power&lt;=C38)),E38,0)</f>
        <v>0</v>
      </c>
      <c r="G38" s="71">
        <f>+F38*(IF((B38="n")*(Power=A38),0,1)*(IF((D38="n")*(Power=C38),0,1)))</f>
        <v>0</v>
      </c>
      <c r="I38" s="92">
        <v>-20</v>
      </c>
      <c r="J38" s="92"/>
      <c r="K38" s="97" t="s">
        <v>90</v>
      </c>
      <c r="L38" s="73">
        <f>M38*1.05</f>
        <v>9.3450000000000011E-11</v>
      </c>
      <c r="M38" s="73">
        <v>8.9000000000000003E-11</v>
      </c>
      <c r="N38" s="73">
        <f>M38*1.05</f>
        <v>9.3450000000000011E-11</v>
      </c>
      <c r="S38" s="64">
        <f t="shared" si="0"/>
        <v>31</v>
      </c>
      <c r="T38" s="64">
        <v>2.74</v>
      </c>
    </row>
    <row r="39" spans="1:20" x14ac:dyDescent="0.2">
      <c r="A39" s="72">
        <f>$I$38</f>
        <v>-20</v>
      </c>
      <c r="B39" s="65" t="s">
        <v>32</v>
      </c>
      <c r="C39" s="72">
        <f>$I$41</f>
        <v>0</v>
      </c>
      <c r="D39" s="65" t="s">
        <v>31</v>
      </c>
      <c r="E39" s="73">
        <f ca="1">OFFSET(K39,0,L41)</f>
        <v>4.1400000000000002E-9</v>
      </c>
      <c r="F39" s="66">
        <f ca="1">IF(((Power&gt;=A39) * (Power&lt;=C39)),E39,0)</f>
        <v>4.1400000000000002E-9</v>
      </c>
      <c r="G39" s="66">
        <f ca="1">+F39*(IF((B39="n")*(Power=A39),0,1)*(IF((D39="n")*(Power=C39),0,1)))</f>
        <v>4.1400000000000002E-9</v>
      </c>
      <c r="H39" s="69"/>
      <c r="K39" s="97" t="s">
        <v>91</v>
      </c>
      <c r="L39" s="73">
        <f t="shared" ref="L39:L40" si="6">M39*1.05</f>
        <v>4.347E-9</v>
      </c>
      <c r="M39" s="73">
        <v>4.1400000000000002E-9</v>
      </c>
      <c r="N39" s="73">
        <f t="shared" ref="N39:N40" si="7">M39*1.05</f>
        <v>4.347E-9</v>
      </c>
      <c r="S39" s="64">
        <f t="shared" si="0"/>
        <v>32</v>
      </c>
      <c r="T39" s="64">
        <v>2.87</v>
      </c>
    </row>
    <row r="40" spans="1:20" x14ac:dyDescent="0.2">
      <c r="A40" s="72">
        <f>$I$41</f>
        <v>0</v>
      </c>
      <c r="B40" s="65" t="s">
        <v>32</v>
      </c>
      <c r="C40" s="72">
        <f>$I$14</f>
        <v>20</v>
      </c>
      <c r="D40" s="71" t="s">
        <v>31</v>
      </c>
      <c r="E40" s="73">
        <f ca="1">OFFSET(K40,0,L41)</f>
        <v>1.7199999999999999E-8</v>
      </c>
      <c r="F40" s="66">
        <f ca="1">IF(((Power&gt;=A40) * (Power&lt;=C40)),E40,0)</f>
        <v>1.7199999999999999E-8</v>
      </c>
      <c r="G40" s="66">
        <f ca="1">+F40*(IF((B40="n")*(Power=A40),0,1)*(IF((D40="n")*(Power=C40),0,1)))</f>
        <v>0</v>
      </c>
      <c r="I40" s="74" t="s">
        <v>101</v>
      </c>
      <c r="J40" s="74"/>
      <c r="K40" s="99" t="s">
        <v>92</v>
      </c>
      <c r="L40" s="73">
        <f t="shared" si="6"/>
        <v>1.8059999999999998E-8</v>
      </c>
      <c r="M40" s="73">
        <v>1.7199999999999999E-8</v>
      </c>
      <c r="N40" s="73">
        <f t="shared" si="7"/>
        <v>1.8059999999999998E-8</v>
      </c>
      <c r="S40" s="64">
        <f t="shared" si="0"/>
        <v>33</v>
      </c>
      <c r="T40" s="64">
        <v>2.84</v>
      </c>
    </row>
    <row r="41" spans="1:20" x14ac:dyDescent="0.2">
      <c r="F41" s="65"/>
      <c r="I41" s="92">
        <v>0</v>
      </c>
      <c r="J41" s="92"/>
      <c r="K41" s="64" t="s">
        <v>89</v>
      </c>
      <c r="L41" s="64">
        <f>IF(Temp&lt;25,1,IF(Temp&gt;35,3,2))</f>
        <v>2</v>
      </c>
      <c r="S41" s="64">
        <f t="shared" si="0"/>
        <v>34</v>
      </c>
      <c r="T41" s="64">
        <v>2.96</v>
      </c>
    </row>
    <row r="42" spans="1:20" x14ac:dyDescent="0.2">
      <c r="S42" s="64">
        <f t="shared" si="0"/>
        <v>35</v>
      </c>
      <c r="T42" s="64">
        <v>2.66</v>
      </c>
    </row>
    <row r="43" spans="1:20" ht="25.5" x14ac:dyDescent="0.2">
      <c r="A43" s="74" t="s">
        <v>68</v>
      </c>
      <c r="B43" s="74"/>
      <c r="C43" s="75">
        <f ca="1">+SUM(G38:G42)</f>
        <v>4.1400000000000002E-9</v>
      </c>
      <c r="D43" s="76"/>
      <c r="E43" s="69"/>
      <c r="F43" s="71"/>
      <c r="G43" s="73"/>
      <c r="I43" s="74"/>
      <c r="J43" s="74"/>
      <c r="S43" s="64">
        <f t="shared" si="0"/>
        <v>36</v>
      </c>
      <c r="T43" s="64">
        <v>3.62</v>
      </c>
    </row>
    <row r="44" spans="1:20" x14ac:dyDescent="0.2">
      <c r="A44" s="62" t="s">
        <v>6</v>
      </c>
      <c r="B44" s="62"/>
      <c r="C44" s="76">
        <f>0.001*10^(Power/10)</f>
        <v>1E-3</v>
      </c>
      <c r="D44" s="76"/>
      <c r="I44" s="62" t="s">
        <v>63</v>
      </c>
      <c r="J44" s="92"/>
      <c r="M44" s="79"/>
      <c r="N44" s="101"/>
      <c r="S44" s="64">
        <f t="shared" si="0"/>
        <v>37</v>
      </c>
      <c r="T44" s="64">
        <v>3.18</v>
      </c>
    </row>
    <row r="45" spans="1:20" x14ac:dyDescent="0.2">
      <c r="A45" s="62" t="s">
        <v>29</v>
      </c>
      <c r="B45" s="62"/>
      <c r="C45" s="77">
        <f ca="1">+C43/C44*100</f>
        <v>4.1400000000000003E-4</v>
      </c>
      <c r="D45" s="77"/>
      <c r="I45" s="92">
        <v>140</v>
      </c>
      <c r="M45" s="79"/>
      <c r="N45" s="101"/>
      <c r="S45" s="64">
        <f t="shared" si="0"/>
        <v>38</v>
      </c>
      <c r="T45" s="64">
        <v>5.07</v>
      </c>
    </row>
    <row r="46" spans="1:20" x14ac:dyDescent="0.2">
      <c r="I46" s="74"/>
      <c r="J46" s="74"/>
      <c r="M46" s="79"/>
      <c r="N46" s="101"/>
      <c r="S46" s="64">
        <f t="shared" si="0"/>
        <v>39</v>
      </c>
      <c r="T46" s="64">
        <v>3.52</v>
      </c>
    </row>
    <row r="47" spans="1:20" x14ac:dyDescent="0.2">
      <c r="S47" s="64">
        <f t="shared" si="0"/>
        <v>40</v>
      </c>
      <c r="T47" s="64">
        <v>2.97</v>
      </c>
    </row>
    <row r="48" spans="1:20" x14ac:dyDescent="0.2">
      <c r="A48" s="62" t="s">
        <v>4</v>
      </c>
      <c r="B48" s="62"/>
      <c r="F48" s="65" t="s">
        <v>55</v>
      </c>
      <c r="G48" s="65" t="s">
        <v>56</v>
      </c>
      <c r="S48" s="64">
        <f t="shared" si="0"/>
        <v>41</v>
      </c>
      <c r="T48" s="64">
        <v>10.199999999999999</v>
      </c>
    </row>
    <row r="49" spans="1:20" x14ac:dyDescent="0.2">
      <c r="A49" s="65" t="s">
        <v>22</v>
      </c>
      <c r="B49" s="64" t="s">
        <v>30</v>
      </c>
      <c r="C49" s="65" t="s">
        <v>23</v>
      </c>
      <c r="D49" s="64" t="s">
        <v>30</v>
      </c>
      <c r="E49" s="65" t="s">
        <v>21</v>
      </c>
      <c r="F49" s="65"/>
      <c r="S49" s="64">
        <f t="shared" si="0"/>
        <v>42</v>
      </c>
      <c r="T49" s="64">
        <v>10.08</v>
      </c>
    </row>
    <row r="50" spans="1:20" x14ac:dyDescent="0.2">
      <c r="A50" s="65">
        <f>$I$23</f>
        <v>0.01</v>
      </c>
      <c r="B50" s="65" t="s">
        <v>31</v>
      </c>
      <c r="C50" s="65">
        <v>0.05</v>
      </c>
      <c r="D50" s="65" t="s">
        <v>32</v>
      </c>
      <c r="E50" s="78">
        <v>-10.16</v>
      </c>
      <c r="F50" s="65">
        <f t="shared" ref="F50:F57" si="8">IF(((Freq&gt;=A50) * (Freq&lt;=C50)),E50,0)</f>
        <v>0</v>
      </c>
      <c r="G50" s="65">
        <f t="shared" ref="G50:G57" si="9">+F50*(IF((B50="n")*(Freq=A50),0,1)*(IF((D50="n")*(Freq=C50),0,1)))</f>
        <v>0</v>
      </c>
      <c r="I50" s="82"/>
      <c r="J50" s="82"/>
      <c r="K50" s="82"/>
      <c r="S50" s="64">
        <f t="shared" si="0"/>
        <v>43</v>
      </c>
      <c r="T50" s="64">
        <v>9.66</v>
      </c>
    </row>
    <row r="51" spans="1:20" x14ac:dyDescent="0.2">
      <c r="A51" s="65">
        <v>0.05</v>
      </c>
      <c r="B51" s="65" t="s">
        <v>31</v>
      </c>
      <c r="C51" s="65">
        <v>0.15</v>
      </c>
      <c r="D51" s="65" t="s">
        <v>31</v>
      </c>
      <c r="E51" s="78">
        <v>-22.12</v>
      </c>
      <c r="F51" s="65">
        <f t="shared" si="8"/>
        <v>0</v>
      </c>
      <c r="G51" s="65">
        <f t="shared" si="9"/>
        <v>0</v>
      </c>
      <c r="I51" s="82"/>
      <c r="J51" s="82"/>
      <c r="K51" s="82"/>
      <c r="S51" s="64">
        <f t="shared" si="0"/>
        <v>44</v>
      </c>
      <c r="T51" s="64">
        <v>9.25</v>
      </c>
    </row>
    <row r="52" spans="1:20" x14ac:dyDescent="0.2">
      <c r="A52" s="65">
        <v>0.15</v>
      </c>
      <c r="B52" s="65" t="s">
        <v>32</v>
      </c>
      <c r="C52" s="65">
        <v>2</v>
      </c>
      <c r="D52" s="65" t="s">
        <v>31</v>
      </c>
      <c r="E52" s="78">
        <v>-28.3</v>
      </c>
      <c r="F52" s="65">
        <f t="shared" si="8"/>
        <v>0</v>
      </c>
      <c r="G52" s="65">
        <f t="shared" si="9"/>
        <v>0</v>
      </c>
      <c r="I52" s="82"/>
      <c r="J52" s="82"/>
      <c r="K52" s="82"/>
      <c r="S52" s="64">
        <f t="shared" si="0"/>
        <v>45</v>
      </c>
      <c r="T52" s="64">
        <v>9.0500000000000007</v>
      </c>
    </row>
    <row r="53" spans="1:20" x14ac:dyDescent="0.2">
      <c r="A53" s="65">
        <v>2</v>
      </c>
      <c r="B53" s="65" t="s">
        <v>32</v>
      </c>
      <c r="C53" s="65">
        <v>6</v>
      </c>
      <c r="D53" s="65" t="s">
        <v>31</v>
      </c>
      <c r="E53" s="78">
        <v>-22.61</v>
      </c>
      <c r="F53" s="65">
        <f t="shared" si="8"/>
        <v>0</v>
      </c>
      <c r="G53" s="65">
        <f t="shared" si="9"/>
        <v>0</v>
      </c>
      <c r="I53" s="82"/>
      <c r="J53" s="82"/>
      <c r="K53" s="82"/>
      <c r="S53" s="64">
        <f t="shared" si="0"/>
        <v>46</v>
      </c>
      <c r="T53" s="64">
        <v>8.83</v>
      </c>
    </row>
    <row r="54" spans="1:20" x14ac:dyDescent="0.2">
      <c r="A54" s="65">
        <v>6</v>
      </c>
      <c r="B54" s="65" t="s">
        <v>32</v>
      </c>
      <c r="C54" s="65">
        <v>18</v>
      </c>
      <c r="D54" s="65" t="s">
        <v>31</v>
      </c>
      <c r="E54" s="78">
        <v>-20.440000000000001</v>
      </c>
      <c r="F54" s="65">
        <f t="shared" si="8"/>
        <v>-20.440000000000001</v>
      </c>
      <c r="G54" s="65">
        <f t="shared" si="9"/>
        <v>-20.440000000000001</v>
      </c>
      <c r="I54" s="82"/>
      <c r="J54" s="82"/>
      <c r="K54" s="82"/>
      <c r="S54" s="64">
        <f t="shared" si="0"/>
        <v>47</v>
      </c>
      <c r="T54" s="64">
        <v>8.8699999999999992</v>
      </c>
    </row>
    <row r="55" spans="1:20" x14ac:dyDescent="0.2">
      <c r="A55" s="65">
        <v>18</v>
      </c>
      <c r="B55" s="65" t="s">
        <v>32</v>
      </c>
      <c r="C55" s="65">
        <v>33</v>
      </c>
      <c r="D55" s="65" t="s">
        <v>31</v>
      </c>
      <c r="E55" s="78">
        <v>-17.95</v>
      </c>
      <c r="F55" s="65">
        <f t="shared" si="8"/>
        <v>0</v>
      </c>
      <c r="G55" s="65">
        <f t="shared" si="9"/>
        <v>0</v>
      </c>
      <c r="I55" s="82"/>
      <c r="J55" s="82"/>
      <c r="K55" s="82"/>
      <c r="S55" s="64">
        <f t="shared" si="0"/>
        <v>48</v>
      </c>
      <c r="T55" s="64">
        <v>9.41</v>
      </c>
    </row>
    <row r="56" spans="1:20" x14ac:dyDescent="0.2">
      <c r="A56" s="65">
        <v>33</v>
      </c>
      <c r="B56" s="65" t="s">
        <v>32</v>
      </c>
      <c r="C56" s="65">
        <v>40</v>
      </c>
      <c r="D56" s="65" t="s">
        <v>31</v>
      </c>
      <c r="E56" s="78">
        <v>-14.88</v>
      </c>
      <c r="F56" s="65">
        <f t="shared" si="8"/>
        <v>0</v>
      </c>
      <c r="G56" s="65">
        <f t="shared" si="9"/>
        <v>0</v>
      </c>
      <c r="I56" s="82"/>
      <c r="J56" s="82"/>
      <c r="K56" s="82"/>
      <c r="S56" s="64">
        <f t="shared" si="0"/>
        <v>49</v>
      </c>
      <c r="T56" s="64">
        <v>9.65</v>
      </c>
    </row>
    <row r="57" spans="1:20" x14ac:dyDescent="0.2">
      <c r="A57" s="65">
        <v>40</v>
      </c>
      <c r="B57" s="65" t="s">
        <v>32</v>
      </c>
      <c r="C57" s="65">
        <v>50</v>
      </c>
      <c r="D57" s="65" t="s">
        <v>31</v>
      </c>
      <c r="E57" s="78">
        <v>-13.98</v>
      </c>
      <c r="F57" s="65">
        <f t="shared" si="8"/>
        <v>0</v>
      </c>
      <c r="G57" s="65">
        <f t="shared" si="9"/>
        <v>0</v>
      </c>
      <c r="I57" s="82"/>
      <c r="J57" s="82"/>
      <c r="K57" s="82"/>
      <c r="S57" s="64">
        <f t="shared" si="0"/>
        <v>50</v>
      </c>
      <c r="T57" s="64">
        <v>10.49</v>
      </c>
    </row>
    <row r="59" spans="1:20" x14ac:dyDescent="0.2">
      <c r="A59" s="62" t="s">
        <v>38</v>
      </c>
      <c r="B59" s="62"/>
      <c r="C59" s="77">
        <f>SUM(G50:G57)</f>
        <v>-20.440000000000001</v>
      </c>
      <c r="D59" s="68"/>
      <c r="E59" s="69"/>
      <c r="F59" s="69"/>
      <c r="G59" s="78"/>
    </row>
    <row r="60" spans="1:20" x14ac:dyDescent="0.2">
      <c r="A60" s="62" t="s">
        <v>4</v>
      </c>
      <c r="B60" s="62"/>
      <c r="C60" s="77">
        <f>(((10^(C59/20)))+1)/((-(10^(C59/20)))+1)</f>
        <v>1.2100924475018835</v>
      </c>
      <c r="D60" s="77"/>
    </row>
    <row r="70" spans="8:11" x14ac:dyDescent="0.2">
      <c r="I70" s="78"/>
      <c r="J70" s="78"/>
    </row>
    <row r="71" spans="8:11" x14ac:dyDescent="0.2">
      <c r="H71" s="78"/>
      <c r="K71" s="78"/>
    </row>
    <row r="77" spans="8:11" x14ac:dyDescent="0.2">
      <c r="I77" s="65"/>
      <c r="J77" s="65"/>
    </row>
    <row r="78" spans="8:11" x14ac:dyDescent="0.2">
      <c r="I78" s="65"/>
      <c r="J78" s="65"/>
    </row>
    <row r="79" spans="8:11" x14ac:dyDescent="0.2">
      <c r="I79" s="65"/>
      <c r="J79" s="65"/>
    </row>
    <row r="80" spans="8:11" x14ac:dyDescent="0.2">
      <c r="I80" s="65"/>
      <c r="J80" s="65"/>
    </row>
    <row r="82" spans="8:11" x14ac:dyDescent="0.2">
      <c r="I82" s="65"/>
      <c r="J82" s="65"/>
    </row>
    <row r="83" spans="8:11" x14ac:dyDescent="0.2">
      <c r="I83" s="69"/>
      <c r="J83" s="69"/>
    </row>
    <row r="84" spans="8:11" x14ac:dyDescent="0.2">
      <c r="I84" s="69"/>
      <c r="J84" s="69"/>
    </row>
    <row r="85" spans="8:11" x14ac:dyDescent="0.2">
      <c r="H85" s="78"/>
      <c r="I85" s="69"/>
      <c r="J85" s="69"/>
      <c r="K85" s="78"/>
    </row>
    <row r="92" spans="8:11" x14ac:dyDescent="0.2">
      <c r="H92" s="65"/>
      <c r="K92" s="65"/>
    </row>
    <row r="93" spans="8:11" x14ac:dyDescent="0.2">
      <c r="H93" s="65"/>
      <c r="K93" s="65"/>
    </row>
    <row r="94" spans="8:11" x14ac:dyDescent="0.2">
      <c r="H94" s="65"/>
      <c r="K94" s="65"/>
    </row>
    <row r="95" spans="8:11" x14ac:dyDescent="0.2">
      <c r="H95" s="65"/>
      <c r="K95" s="65"/>
    </row>
    <row r="96" spans="8:11" x14ac:dyDescent="0.2">
      <c r="H96" s="69"/>
      <c r="K96" s="69"/>
    </row>
  </sheetData>
  <sheetProtection algorithmName="SHA-512" hashValue="7wS9U8Po2SPvcAGE8bBvEGzsHjrIN58IsrXKS5vFbP6o24+KuH2H6cZV2Uuy7pTrcHS6Dg+GQ48Z8oL7S2SLFw==" saltValue="C32Qj9dB6DX29O/SMwH/UQ==" spinCount="100000" sheet="1" objects="1" scenarios="1" selectLockedCells="1" selectUnlockedCell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MU Calculator</vt:lpstr>
      <vt:lpstr>BB1_Data</vt:lpstr>
      <vt:lpstr>BB2_Data</vt:lpstr>
      <vt:lpstr>Aperture</vt:lpstr>
      <vt:lpstr>Average</vt:lpstr>
      <vt:lpstr>Enhmod</vt:lpstr>
      <vt:lpstr>Freq</vt:lpstr>
      <vt:lpstr>ModNum</vt:lpstr>
      <vt:lpstr>Power</vt:lpstr>
      <vt:lpstr>Temp</vt:lpstr>
    </vt:vector>
  </TitlesOfParts>
  <Company>Anritsu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Balzarini</dc:creator>
  <cp:lastModifiedBy>Lindsay, Russel</cp:lastModifiedBy>
  <cp:lastPrinted>2007-02-14T16:41:02Z</cp:lastPrinted>
  <dcterms:created xsi:type="dcterms:W3CDTF">2001-11-23T15:07:18Z</dcterms:created>
  <dcterms:modified xsi:type="dcterms:W3CDTF">2016-03-29T00:47:39Z</dcterms:modified>
</cp:coreProperties>
</file>