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tcom-my.sharepoint.com/personal/wstrickler_wtcom_com/Documents/Documents/Partners/Anritsu/"/>
    </mc:Choice>
  </mc:AlternateContent>
  <xr:revisionPtr revIDLastSave="17" documentId="8_{D9392696-DAAB-430D-AC0B-7E4DFAD8C75A}" xr6:coauthVersionLast="45" xr6:coauthVersionMax="45" xr10:uidLastSave="{85A35D2F-BF8A-4191-8110-D6929CE8E7FC}"/>
  <workbookProtection workbookAlgorithmName="SHA-512" workbookHashValue="AoDej4/Wly36nQhX5QT99gXlgUWmydfrxlJ8EhixUWVNGG0/vjAHSj59fNoK4nZP1xTA8gGsMbGFCn875U+iwg==" workbookSaltValue="uaNtqMZ5++ALx3fchVXUGg==" workbookSpinCount="100000" lockStructure="1"/>
  <bookViews>
    <workbookView xWindow="990" yWindow="780" windowWidth="26340" windowHeight="13470" xr2:uid="{00000000-000D-0000-FFFF-FFFF00000000}"/>
  </bookViews>
  <sheets>
    <sheet name="Uncertainty" sheetId="1" r:id="rId1"/>
    <sheet name="Sensor Data" sheetId="2" state="hidden" r:id="rId2"/>
    <sheet name="Formula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9" i="3" l="1"/>
  <c r="B88" i="3"/>
  <c r="B87" i="3"/>
  <c r="B86" i="3"/>
  <c r="B85" i="3"/>
  <c r="B47" i="3"/>
  <c r="B46" i="3"/>
  <c r="B45" i="3"/>
  <c r="B44" i="3"/>
  <c r="B43" i="3"/>
  <c r="B11" i="3" l="1"/>
  <c r="B10" i="3"/>
  <c r="B53" i="3"/>
  <c r="B52" i="3"/>
  <c r="B51" i="3"/>
  <c r="B50" i="3"/>
  <c r="B49" i="3"/>
  <c r="B65" i="3"/>
  <c r="B64" i="3"/>
  <c r="B63" i="3"/>
  <c r="B62" i="3"/>
  <c r="B61" i="3"/>
  <c r="B41" i="3"/>
  <c r="B40" i="3"/>
  <c r="B5" i="3"/>
  <c r="B4" i="3"/>
  <c r="B3" i="3"/>
  <c r="B2" i="3"/>
  <c r="B1" i="3"/>
  <c r="B9" i="3"/>
  <c r="B8" i="3"/>
  <c r="B7" i="3"/>
  <c r="L6" i="2" l="1"/>
  <c r="L5" i="2"/>
  <c r="L4" i="2"/>
  <c r="L3" i="2"/>
  <c r="L2" i="2"/>
  <c r="F5" i="1" l="1"/>
  <c r="C5" i="1"/>
  <c r="E11" i="1"/>
  <c r="D8" i="1"/>
  <c r="B6" i="1"/>
  <c r="B5" i="1"/>
  <c r="B24" i="1"/>
  <c r="B22" i="3" l="1"/>
  <c r="B23" i="3"/>
  <c r="B19" i="3"/>
  <c r="B22" i="1" s="1"/>
  <c r="B20" i="3"/>
  <c r="B21" i="3"/>
  <c r="B82" i="3" l="1"/>
  <c r="B77" i="3"/>
  <c r="B73" i="3"/>
  <c r="B81" i="3"/>
  <c r="B76" i="3"/>
  <c r="B80" i="3"/>
  <c r="B75" i="3"/>
  <c r="B83" i="3"/>
  <c r="B79" i="3"/>
  <c r="F11" i="1" s="1"/>
  <c r="B74" i="3"/>
  <c r="E8" i="1" l="1"/>
  <c r="B55" i="3" s="1"/>
  <c r="B68" i="3"/>
  <c r="B71" i="3"/>
  <c r="B67" i="3"/>
  <c r="B70" i="3"/>
  <c r="B69" i="3"/>
  <c r="B56" i="3"/>
  <c r="B58" i="3"/>
  <c r="B57" i="3"/>
  <c r="E23" i="1"/>
  <c r="E24" i="1"/>
  <c r="E28" i="1"/>
  <c r="F20" i="1"/>
  <c r="E22" i="1"/>
  <c r="E21" i="1"/>
  <c r="D33" i="1"/>
  <c r="B59" i="3" l="1"/>
  <c r="E12" i="1"/>
  <c r="D9" i="1"/>
  <c r="B37" i="3" s="1"/>
  <c r="B26" i="1" s="1"/>
  <c r="B39" i="3"/>
  <c r="F24" i="1"/>
  <c r="F22" i="1"/>
  <c r="B28" i="1"/>
  <c r="F28" i="1" s="1"/>
  <c r="B38" i="3" l="1"/>
  <c r="F26" i="1"/>
  <c r="B15" i="3"/>
  <c r="B32" i="3"/>
  <c r="B14" i="3"/>
  <c r="B29" i="3"/>
  <c r="B34" i="3"/>
  <c r="B26" i="3"/>
  <c r="B17" i="3"/>
  <c r="B27" i="3"/>
  <c r="B28" i="3"/>
  <c r="B33" i="3"/>
  <c r="B16" i="3"/>
  <c r="B35" i="3"/>
  <c r="B31" i="3"/>
  <c r="B25" i="1" s="1"/>
  <c r="F25" i="1" s="1"/>
  <c r="B13" i="3"/>
  <c r="B21" i="1" s="1"/>
  <c r="F21" i="1" s="1"/>
  <c r="B25" i="3"/>
  <c r="B23" i="1" s="1"/>
  <c r="F23" i="1" s="1"/>
  <c r="G31" i="1" l="1"/>
  <c r="G32" i="1" s="1"/>
  <c r="G33" i="1" l="1"/>
  <c r="E33" i="1"/>
</calcChain>
</file>

<file path=xl/sharedStrings.xml><?xml version="1.0" encoding="utf-8"?>
<sst xmlns="http://schemas.openxmlformats.org/spreadsheetml/2006/main" count="170" uniqueCount="86">
  <si>
    <t>Power Sensor</t>
  </si>
  <si>
    <t>Select USB Power Sensor</t>
  </si>
  <si>
    <t>Sensor VSWR</t>
  </si>
  <si>
    <t>Device Under Test (DUT)</t>
  </si>
  <si>
    <t>Measured Power Level</t>
  </si>
  <si>
    <t>dBm</t>
  </si>
  <si>
    <t>Measured Frequency</t>
  </si>
  <si>
    <t>GHz</t>
  </si>
  <si>
    <t>VSWR</t>
  </si>
  <si>
    <t>Measurement Settings</t>
  </si>
  <si>
    <t>Sources of Uncertainties</t>
  </si>
  <si>
    <t>Estimate (in %)</t>
  </si>
  <si>
    <t>Probability Distribution</t>
  </si>
  <si>
    <t>Divisor</t>
  </si>
  <si>
    <t>Standard Uncertainty (in %)</t>
  </si>
  <si>
    <t>Normal</t>
  </si>
  <si>
    <t>Rectangular</t>
  </si>
  <si>
    <t>Device-Under-Test</t>
  </si>
  <si>
    <t>Measurement Uncertainty</t>
  </si>
  <si>
    <t>Combined Uncertainty (%)</t>
  </si>
  <si>
    <t xml:space="preserve">Root_Sum_Squared </t>
  </si>
  <si>
    <t>Expanded Uncertainty (%)</t>
  </si>
  <si>
    <t>Coverage Factor (K)</t>
  </si>
  <si>
    <t>±</t>
  </si>
  <si>
    <t>Expanded Uncertainty (dB)</t>
  </si>
  <si>
    <t>U-shaped</t>
  </si>
  <si>
    <t>Freq Range (GHz)</t>
  </si>
  <si>
    <t xml:space="preserve">  Low</t>
  </si>
  <si>
    <t xml:space="preserve">  High</t>
  </si>
  <si>
    <t>Measurement Range (dBm)</t>
  </si>
  <si>
    <t xml:space="preserve">  Pulse</t>
  </si>
  <si>
    <t xml:space="preserve">    Low</t>
  </si>
  <si>
    <t xml:space="preserve">    High</t>
  </si>
  <si>
    <t>Cal Factor Uncertainty (%RSS)</t>
  </si>
  <si>
    <t xml:space="preserve">  Freq (GHz)</t>
  </si>
  <si>
    <t>Drift and Noise (nW)</t>
  </si>
  <si>
    <t xml:space="preserve">  CW</t>
  </si>
  <si>
    <t xml:space="preserve">to </t>
  </si>
  <si>
    <t>Power Level Standard UNC</t>
  </si>
  <si>
    <t>Shaping Error (%)</t>
  </si>
  <si>
    <t>Calibrator Match</t>
  </si>
  <si>
    <t>When using the Tegam system, this match is better, giving us a better uncertainty at 0 dBm.</t>
  </si>
  <si>
    <t>However, the relative uncertainties at different levels will be worse because we are not stepping power.</t>
  </si>
  <si>
    <t>Neither of these effects are captured yet in our uncertainty values provided to customers.</t>
  </si>
  <si>
    <t xml:space="preserve">    Instrument Uncertainty</t>
  </si>
  <si>
    <t xml:space="preserve">    Calibrator Level Uncertainty</t>
  </si>
  <si>
    <t xml:space="preserve">    Calibrator Mismatch Uncertainty</t>
  </si>
  <si>
    <t xml:space="preserve">    Sensor Shaping Error</t>
  </si>
  <si>
    <t xml:space="preserve"> Temperature Drift</t>
  </si>
  <si>
    <t xml:space="preserve"> Noise and Drift</t>
  </si>
  <si>
    <t xml:space="preserve"> Cal Factor Uncertainty</t>
  </si>
  <si>
    <t xml:space="preserve"> Mismatch between Sensor and DUT</t>
  </si>
  <si>
    <t>Measurement Type (PULSE or CW)</t>
  </si>
  <si>
    <t>Actual detector internal temperature</t>
  </si>
  <si>
    <t>VSWR @ cal frequency</t>
  </si>
  <si>
    <t>Calibration Frequency (GHz)</t>
  </si>
  <si>
    <r>
      <t xml:space="preserve">Tegam </t>
    </r>
    <r>
      <rPr>
        <sz val="11"/>
        <color theme="1"/>
        <rFont val="Calibri"/>
        <family val="2"/>
      </rPr>
      <t>↓</t>
    </r>
  </si>
  <si>
    <t>1?</t>
  </si>
  <si>
    <t>Available Sensors</t>
  </si>
  <si>
    <t xml:space="preserve">  PULSE</t>
  </si>
  <si>
    <t>B5</t>
  </si>
  <si>
    <t>B6</t>
  </si>
  <si>
    <t>B21</t>
  </si>
  <si>
    <t>B22</t>
  </si>
  <si>
    <t>B23</t>
  </si>
  <si>
    <t>B25</t>
  </si>
  <si>
    <t>B26</t>
  </si>
  <si>
    <t>D8</t>
  </si>
  <si>
    <t>D9</t>
  </si>
  <si>
    <t>D11</t>
  </si>
  <si>
    <t>D12</t>
  </si>
  <si>
    <t>E8</t>
  </si>
  <si>
    <t>E11</t>
  </si>
  <si>
    <t>PULSE</t>
  </si>
  <si>
    <t>CW</t>
  </si>
  <si>
    <r>
      <t>Calibration Temperature (</t>
    </r>
    <r>
      <rPr>
        <sz val="10"/>
        <color theme="1"/>
        <rFont val="Arial"/>
        <family val="2"/>
      </rPr>
      <t>C</t>
    </r>
    <r>
      <rPr>
        <sz val="11"/>
        <color theme="1"/>
        <rFont val="Arial"/>
        <family val="2"/>
      </rPr>
      <t>)</t>
    </r>
  </si>
  <si>
    <t xml:space="preserve">Measurement Temperature (C) </t>
  </si>
  <si>
    <t>C5</t>
  </si>
  <si>
    <t>Frequency Range (GHz)</t>
  </si>
  <si>
    <t>F5</t>
  </si>
  <si>
    <t>MA24406A</t>
  </si>
  <si>
    <t>MA24418A</t>
  </si>
  <si>
    <t>MA24419A</t>
  </si>
  <si>
    <t>MA24440A</t>
  </si>
  <si>
    <t>MA24441A</t>
  </si>
  <si>
    <t>Anritsu MA24400A USB Peak Power Sensor Measurement Uncertainty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</si>
</sst>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3813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3" fillId="0" borderId="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7" fillId="0" borderId="17" xfId="0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2" fontId="7" fillId="0" borderId="14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2" fontId="7" fillId="0" borderId="13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6" fillId="0" borderId="0" xfId="0" applyFont="1" applyProtection="1">
      <protection hidden="1"/>
    </xf>
    <xf numFmtId="0" fontId="2" fillId="2" borderId="4" xfId="0" applyFont="1" applyFill="1" applyBorder="1" applyProtection="1">
      <protection hidden="1"/>
    </xf>
    <xf numFmtId="0" fontId="3" fillId="0" borderId="18" xfId="0" applyFont="1" applyFill="1" applyBorder="1" applyAlignment="1" applyProtection="1">
      <alignment horizontal="left"/>
      <protection hidden="1"/>
    </xf>
    <xf numFmtId="2" fontId="3" fillId="0" borderId="19" xfId="0" applyNumberFormat="1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11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left" indent="1"/>
      <protection hidden="1"/>
    </xf>
    <xf numFmtId="2" fontId="3" fillId="0" borderId="11" xfId="0" applyNumberFormat="1" applyFont="1" applyFill="1" applyBorder="1" applyAlignment="1" applyProtection="1">
      <alignment horizontal="center"/>
      <protection hidden="1"/>
    </xf>
    <xf numFmtId="2" fontId="3" fillId="0" borderId="20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left" indent="1"/>
      <protection hidden="1"/>
    </xf>
    <xf numFmtId="2" fontId="3" fillId="0" borderId="17" xfId="0" applyNumberFormat="1" applyFont="1" applyFill="1" applyBorder="1" applyAlignment="1" applyProtection="1">
      <alignment horizontal="center"/>
      <protection hidden="1"/>
    </xf>
    <xf numFmtId="2" fontId="3" fillId="0" borderId="17" xfId="0" applyNumberFormat="1" applyFont="1" applyBorder="1" applyProtection="1"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2" fillId="2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3" fillId="0" borderId="5" xfId="0" applyFont="1" applyBorder="1" applyProtection="1"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3" fillId="0" borderId="25" xfId="0" applyFont="1" applyBorder="1" applyAlignment="1" applyProtection="1">
      <alignment horizontal="left" indent="1"/>
      <protection hidden="1"/>
    </xf>
    <xf numFmtId="0" fontId="3" fillId="0" borderId="24" xfId="0" applyFont="1" applyBorder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horizontal="left" indent="1"/>
      <protection hidden="1"/>
    </xf>
    <xf numFmtId="0" fontId="2" fillId="3" borderId="4" xfId="0" applyFont="1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quotePrefix="1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0" xfId="0" quotePrefix="1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7" fillId="5" borderId="0" xfId="0" applyFont="1" applyFill="1" applyBorder="1" applyAlignment="1">
      <alignment vertical="center" wrapText="1"/>
    </xf>
    <xf numFmtId="165" fontId="0" fillId="5" borderId="0" xfId="0" applyNumberFormat="1" applyFill="1"/>
    <xf numFmtId="0" fontId="13" fillId="0" borderId="0" xfId="0" applyFont="1"/>
    <xf numFmtId="0" fontId="13" fillId="0" borderId="0" xfId="0" applyFont="1" applyFill="1"/>
    <xf numFmtId="2" fontId="13" fillId="0" borderId="0" xfId="0" applyNumberFormat="1" applyFont="1" applyFill="1"/>
    <xf numFmtId="0" fontId="13" fillId="5" borderId="0" xfId="0" applyFont="1" applyFill="1"/>
    <xf numFmtId="2" fontId="13" fillId="5" borderId="0" xfId="0" applyNumberFormat="1" applyFont="1" applyFill="1"/>
    <xf numFmtId="2" fontId="13" fillId="5" borderId="0" xfId="2" applyNumberFormat="1" applyFont="1" applyFill="1"/>
    <xf numFmtId="2" fontId="13" fillId="0" borderId="0" xfId="2" applyNumberFormat="1" applyFont="1" applyFill="1"/>
    <xf numFmtId="165" fontId="13" fillId="5" borderId="0" xfId="0" applyNumberFormat="1" applyFont="1" applyFill="1"/>
    <xf numFmtId="165" fontId="13" fillId="0" borderId="0" xfId="0" applyNumberFormat="1" applyFont="1" applyFill="1"/>
    <xf numFmtId="165" fontId="13" fillId="0" borderId="0" xfId="0" applyNumberFormat="1" applyFont="1"/>
    <xf numFmtId="0" fontId="0" fillId="0" borderId="0" xfId="0" applyNumberFormat="1" applyAlignment="1">
      <alignment horizontal="left"/>
    </xf>
    <xf numFmtId="2" fontId="3" fillId="0" borderId="17" xfId="0" applyNumberFormat="1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165" fontId="4" fillId="6" borderId="34" xfId="0" applyNumberFormat="1" applyFont="1" applyFill="1" applyBorder="1" applyAlignment="1" applyProtection="1">
      <alignment horizontal="center"/>
      <protection locked="0"/>
    </xf>
    <xf numFmtId="165" fontId="4" fillId="6" borderId="8" xfId="0" applyNumberFormat="1" applyFont="1" applyFill="1" applyBorder="1" applyAlignment="1" applyProtection="1">
      <alignment horizontal="center"/>
      <protection locked="0"/>
    </xf>
    <xf numFmtId="2" fontId="4" fillId="6" borderId="11" xfId="0" applyNumberFormat="1" applyFont="1" applyFill="1" applyBorder="1" applyAlignment="1" applyProtection="1">
      <alignment horizontal="center"/>
      <protection locked="0"/>
    </xf>
    <xf numFmtId="2" fontId="4" fillId="6" borderId="13" xfId="0" applyNumberFormat="1" applyFont="1" applyFill="1" applyBorder="1" applyAlignment="1" applyProtection="1">
      <alignment horizontal="center"/>
      <protection locked="0"/>
    </xf>
    <xf numFmtId="49" fontId="4" fillId="6" borderId="6" xfId="0" applyNumberFormat="1" applyFont="1" applyFill="1" applyBorder="1" applyAlignment="1" applyProtection="1">
      <alignment horizontal="center"/>
      <protection locked="0"/>
    </xf>
    <xf numFmtId="165" fontId="9" fillId="6" borderId="13" xfId="0" applyNumberFormat="1" applyFont="1" applyFill="1" applyBorder="1" applyAlignment="1" applyProtection="1">
      <alignment horizontal="center"/>
      <protection locked="0"/>
    </xf>
    <xf numFmtId="165" fontId="4" fillId="6" borderId="14" xfId="0" applyNumberFormat="1" applyFont="1" applyFill="1" applyBorder="1" applyAlignment="1" applyProtection="1">
      <alignment horizontal="center"/>
      <protection locked="0"/>
    </xf>
    <xf numFmtId="1" fontId="4" fillId="6" borderId="11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165" fontId="14" fillId="3" borderId="8" xfId="0" applyNumberFormat="1" applyFont="1" applyFill="1" applyBorder="1" applyAlignment="1" applyProtection="1">
      <alignment horizontal="center"/>
      <protection locked="0"/>
    </xf>
    <xf numFmtId="165" fontId="14" fillId="3" borderId="6" xfId="0" applyNumberFormat="1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3" fillId="0" borderId="31" xfId="0" applyFont="1" applyFill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 applyProtection="1">
      <alignment horizontal="left" indent="1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538135"/>
      <color rgb="FF0000FF"/>
      <color rgb="FFFFFFCC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120" zoomScaleNormal="120" workbookViewId="0">
      <selection activeCell="B4" sqref="B4"/>
    </sheetView>
  </sheetViews>
  <sheetFormatPr defaultColWidth="9.140625" defaultRowHeight="14.25" x14ac:dyDescent="0.2"/>
  <cols>
    <col min="1" max="1" width="40.85546875" style="8" customWidth="1"/>
    <col min="2" max="2" width="25.28515625" style="8" customWidth="1"/>
    <col min="3" max="4" width="13.7109375" style="8" customWidth="1"/>
    <col min="5" max="6" width="25" style="8" customWidth="1"/>
    <col min="7" max="7" width="8" style="8" bestFit="1" customWidth="1"/>
    <col min="8" max="8" width="19.28515625" style="8" customWidth="1"/>
    <col min="9" max="11" width="11.42578125" style="8" customWidth="1"/>
    <col min="12" max="12" width="13.140625" style="8" bestFit="1" customWidth="1"/>
    <col min="13" max="16384" width="9.140625" style="8"/>
  </cols>
  <sheetData>
    <row r="1" spans="1:14" ht="21" thickBot="1" x14ac:dyDescent="0.25">
      <c r="A1" s="83" t="s">
        <v>85</v>
      </c>
      <c r="B1" s="84"/>
      <c r="C1" s="84"/>
      <c r="D1" s="84"/>
      <c r="E1" s="84"/>
      <c r="F1" s="84"/>
      <c r="G1" s="85"/>
    </row>
    <row r="2" spans="1:14" ht="15" thickBot="1" x14ac:dyDescent="0.25"/>
    <row r="3" spans="1:14" ht="16.5" customHeight="1" thickBot="1" x14ac:dyDescent="0.3">
      <c r="A3" s="40" t="s">
        <v>0</v>
      </c>
      <c r="B3" s="41"/>
      <c r="C3" s="41"/>
    </row>
    <row r="4" spans="1:14" ht="16.5" customHeight="1" x14ac:dyDescent="0.2">
      <c r="A4" s="39" t="s">
        <v>1</v>
      </c>
      <c r="B4" s="69" t="s">
        <v>80</v>
      </c>
      <c r="C4" s="92" t="s">
        <v>29</v>
      </c>
      <c r="D4" s="92"/>
      <c r="E4" s="92" t="s">
        <v>78</v>
      </c>
      <c r="F4" s="93"/>
      <c r="G4" s="37"/>
      <c r="H4" s="37"/>
    </row>
    <row r="5" spans="1:14" ht="16.5" customHeight="1" thickBot="1" x14ac:dyDescent="0.25">
      <c r="A5" s="25" t="s">
        <v>2</v>
      </c>
      <c r="B5" s="67">
        <f>IF(B4='Sensor Data'!L2,Formulas!B1,IF(B4='Sensor Data'!L3,Formulas!B2,IF(B4='Sensor Data'!L4,Formulas!B3,IF(B4='Sensor Data'!L5,Formulas!B4,IF(B4='Sensor Data'!L6,Formulas!B5)))))</f>
        <v>1.25</v>
      </c>
      <c r="C5" s="67">
        <f>IF(B4='Sensor Data'!L2,Formulas!B43,IF(B4='Sensor Data'!L3,Formulas!B44,IF(B4='Sensor Data'!L4,Formulas!B45,IF(B4='Sensor Data'!L5,Formulas!B46,IF(B4='Sensor Data'!L6,Formulas!B47)))))</f>
        <v>-60</v>
      </c>
      <c r="D5" s="4">
        <v>20</v>
      </c>
      <c r="E5" s="67">
        <v>0.05</v>
      </c>
      <c r="F5" s="68">
        <f>IF(B4='Sensor Data'!L2,Formulas!B85,IF(B4='Sensor Data'!L3,Formulas!B86,IF(B4='Sensor Data'!L4,Formulas!B87,IF(B4='Sensor Data'!L5,Formulas!B88,IF(B4='Sensor Data'!L6,Formulas!B89)))))</f>
        <v>6</v>
      </c>
      <c r="G5" s="37"/>
      <c r="H5" s="37"/>
      <c r="J5" s="42"/>
    </row>
    <row r="6" spans="1:14" s="37" customFormat="1" ht="16.5" customHeight="1" thickBot="1" x14ac:dyDescent="0.25">
      <c r="A6" s="107" t="s">
        <v>54</v>
      </c>
      <c r="B6" s="108">
        <f>IF(B4='Sensor Data'!L2,Formulas!B7,IF(B4='Sensor Data'!L3,Formulas!B8,IF(B4='Sensor Data'!L4,Formulas!B9,IF(B4='Sensor Data'!L5,Formulas!B10,IF(B4='Sensor Data'!L6,Formulas!B11)))))</f>
        <v>1.25</v>
      </c>
      <c r="C6" s="45"/>
      <c r="H6" s="46"/>
      <c r="M6" s="47"/>
    </row>
    <row r="7" spans="1:14" ht="16.5" customHeight="1" thickBot="1" x14ac:dyDescent="0.3">
      <c r="A7" s="14" t="s">
        <v>3</v>
      </c>
      <c r="B7" s="43"/>
      <c r="C7" s="43"/>
      <c r="D7" s="44"/>
      <c r="E7" s="42"/>
      <c r="I7" s="13"/>
      <c r="J7" s="13"/>
      <c r="K7" s="13"/>
      <c r="L7" s="13"/>
      <c r="M7" s="13"/>
      <c r="N7" s="13"/>
    </row>
    <row r="8" spans="1:14" ht="16.5" customHeight="1" x14ac:dyDescent="0.2">
      <c r="A8" s="39" t="s">
        <v>4</v>
      </c>
      <c r="B8" s="70">
        <v>0</v>
      </c>
      <c r="C8" s="48" t="s">
        <v>5</v>
      </c>
      <c r="D8" s="109">
        <f>IF(B4='Sensor Data'!L2,Formulas!B49,IF(B4='Sensor Data'!L3,Formulas!B50,IF(B4='Sensor Data'!L4,Formulas!B51,IF(B4='Sensor Data'!L5,Formulas!B52,IF(B4='Sensor Data'!L6,Formulas!B53)))))</f>
        <v>1</v>
      </c>
      <c r="E8" s="109">
        <f>IF(B4='Sensor Data'!L2,Formulas!B73,IF(B4='Sensor Data'!L3,Formulas!B74,IF(B4='Sensor Data'!L4,Formulas!B75,IF(B4='Sensor Data'!L5,Formulas!B76,IF(B4='Sensor Data'!L6,Formulas!B77)))))</f>
        <v>2</v>
      </c>
      <c r="F8" s="109"/>
      <c r="H8" s="13"/>
      <c r="I8" s="13"/>
      <c r="J8" s="13"/>
      <c r="K8" s="13"/>
      <c r="L8" s="13"/>
      <c r="M8" s="13"/>
    </row>
    <row r="9" spans="1:14" ht="16.5" customHeight="1" thickBot="1" x14ac:dyDescent="0.25">
      <c r="A9" s="22" t="s">
        <v>6</v>
      </c>
      <c r="B9" s="71">
        <v>1</v>
      </c>
      <c r="C9" s="49" t="s">
        <v>7</v>
      </c>
      <c r="D9" s="109">
        <f>IF(B4='Sensor Data'!L2,Formulas!B55,IF(B4='Sensor Data'!L3,Formulas!B56,IF(B4='Sensor Data'!L4,Formulas!B57,IF(B4='Sensor Data'!L5,Formulas!B58,IF(B4='Sensor Data'!L6,Formulas!B59)))))</f>
        <v>2</v>
      </c>
      <c r="E9" s="109"/>
      <c r="F9" s="109"/>
      <c r="H9" s="13"/>
      <c r="I9" s="13"/>
      <c r="J9" s="13"/>
      <c r="K9" s="13"/>
      <c r="L9" s="13"/>
      <c r="M9" s="13"/>
    </row>
    <row r="10" spans="1:14" ht="16.5" customHeight="1" x14ac:dyDescent="0.2">
      <c r="A10" s="22" t="s">
        <v>8</v>
      </c>
      <c r="B10" s="72">
        <v>1</v>
      </c>
      <c r="C10" s="50"/>
      <c r="D10" s="109"/>
      <c r="E10" s="109"/>
      <c r="F10" s="109"/>
      <c r="H10" s="13"/>
      <c r="I10" s="13"/>
      <c r="J10" s="13"/>
      <c r="K10" s="13"/>
      <c r="L10" s="13"/>
      <c r="M10" s="13"/>
    </row>
    <row r="11" spans="1:14" ht="16.5" customHeight="1" thickBot="1" x14ac:dyDescent="0.25">
      <c r="D11" s="109"/>
      <c r="E11" s="109">
        <f>IF(B4='Sensor Data'!L2,Formulas!B61,IF(B4='Sensor Data'!L3,Formulas!B62,IF(B4='Sensor Data'!L4,Formulas!B63,IF(B4='Sensor Data'!L5,Formulas!B64,IF(B4='Sensor Data'!L6,Formulas!B65)))))</f>
        <v>1.4</v>
      </c>
      <c r="F11" s="109">
        <f>IF(B4='Sensor Data'!L2,Formulas!B79,IF(B4='Sensor Data'!L3,Formulas!B80,IF(B4='Sensor Data'!L4,Formulas!B81,IF(B4='Sensor Data'!L5,Formulas!B82,IF(B4='Sensor Data'!L6,Formulas!B83)))))</f>
        <v>2</v>
      </c>
      <c r="I11" s="13"/>
      <c r="J11" s="13"/>
      <c r="K11" s="13"/>
      <c r="L11" s="13"/>
      <c r="M11" s="13"/>
      <c r="N11" s="13"/>
    </row>
    <row r="12" spans="1:14" ht="16.5" customHeight="1" thickBot="1" x14ac:dyDescent="0.3">
      <c r="A12" s="14" t="s">
        <v>9</v>
      </c>
      <c r="B12" s="38"/>
      <c r="C12" s="38"/>
      <c r="D12" s="109"/>
      <c r="E12" s="109">
        <f>IF(B4='Sensor Data'!L2,Formulas!B67,IF(B4='Sensor Data'!L3,Formulas!B68,IF(B4='Sensor Data'!L4,Formulas!B69,IF(B4='Sensor Data'!L5,Formulas!B70,IF(B4='Sensor Data'!L6,Formulas!B71)))))</f>
        <v>1.4</v>
      </c>
      <c r="F12" s="109"/>
      <c r="I12" s="13"/>
      <c r="J12" s="13"/>
      <c r="K12" s="13"/>
      <c r="L12" s="13"/>
      <c r="M12" s="13"/>
      <c r="N12" s="13"/>
    </row>
    <row r="13" spans="1:14" ht="16.5" customHeight="1" x14ac:dyDescent="0.2">
      <c r="A13" s="36" t="s">
        <v>52</v>
      </c>
      <c r="B13" s="73" t="s">
        <v>74</v>
      </c>
      <c r="H13" s="13"/>
      <c r="I13" s="13"/>
      <c r="J13" s="13"/>
      <c r="K13" s="13"/>
    </row>
    <row r="14" spans="1:14" ht="16.5" customHeight="1" x14ac:dyDescent="0.2">
      <c r="A14" s="36" t="s">
        <v>75</v>
      </c>
      <c r="B14" s="74">
        <v>22</v>
      </c>
      <c r="C14" s="34" t="s">
        <v>53</v>
      </c>
      <c r="H14" s="13"/>
      <c r="I14" s="13"/>
      <c r="J14" s="13"/>
      <c r="K14" s="13"/>
    </row>
    <row r="15" spans="1:14" ht="16.5" customHeight="1" thickBot="1" x14ac:dyDescent="0.25">
      <c r="A15" s="35" t="s">
        <v>76</v>
      </c>
      <c r="B15" s="75">
        <v>22</v>
      </c>
      <c r="C15" s="34" t="s">
        <v>53</v>
      </c>
      <c r="H15" s="13"/>
      <c r="I15" s="13"/>
      <c r="J15" s="13"/>
      <c r="K15" s="13"/>
      <c r="L15" s="13"/>
      <c r="M15" s="13"/>
    </row>
    <row r="16" spans="1:14" ht="16.5" customHeight="1" thickBot="1" x14ac:dyDescent="0.25">
      <c r="I16" s="13"/>
      <c r="J16" s="13"/>
      <c r="K16" s="13"/>
      <c r="L16" s="13"/>
      <c r="M16" s="13"/>
      <c r="N16" s="13"/>
    </row>
    <row r="17" spans="1:14" ht="16.5" customHeight="1" thickBot="1" x14ac:dyDescent="0.3">
      <c r="A17" s="14" t="s">
        <v>10</v>
      </c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6.5" customHeight="1" x14ac:dyDescent="0.2">
      <c r="A18" s="86" t="s">
        <v>0</v>
      </c>
      <c r="B18" s="88" t="s">
        <v>11</v>
      </c>
      <c r="C18" s="94" t="s">
        <v>12</v>
      </c>
      <c r="D18" s="95"/>
      <c r="E18" s="88" t="s">
        <v>13</v>
      </c>
      <c r="F18" s="90" t="s">
        <v>14</v>
      </c>
    </row>
    <row r="19" spans="1:14" ht="16.5" customHeight="1" thickBot="1" x14ac:dyDescent="0.25">
      <c r="A19" s="87"/>
      <c r="B19" s="89"/>
      <c r="C19" s="96"/>
      <c r="D19" s="97"/>
      <c r="E19" s="89"/>
      <c r="F19" s="91"/>
    </row>
    <row r="20" spans="1:14" ht="16.5" customHeight="1" x14ac:dyDescent="0.2">
      <c r="A20" s="15" t="s">
        <v>44</v>
      </c>
      <c r="B20" s="16">
        <v>0.2</v>
      </c>
      <c r="C20" s="77" t="s">
        <v>15</v>
      </c>
      <c r="D20" s="78"/>
      <c r="E20" s="17">
        <v>2</v>
      </c>
      <c r="F20" s="18">
        <f t="shared" ref="F20:F26" si="0">B20/E20</f>
        <v>0.1</v>
      </c>
    </row>
    <row r="21" spans="1:14" ht="16.5" customHeight="1" x14ac:dyDescent="0.2">
      <c r="A21" s="19" t="s">
        <v>45</v>
      </c>
      <c r="B21" s="20">
        <f>IF(B4='Sensor Data'!L2,Formulas!B13,IF(B4='Sensor Data'!L3,Formulas!B14,IF(B4='Sensor Data'!L4,Formulas!B15,IF(B4='Sensor Data'!L5,Formulas!B16,IF(B4='Sensor Data'!L6,Formulas!B17)))))</f>
        <v>0.9</v>
      </c>
      <c r="C21" s="79" t="s">
        <v>16</v>
      </c>
      <c r="D21" s="80"/>
      <c r="E21" s="21">
        <f>SQRT(3)</f>
        <v>1.7320508075688772</v>
      </c>
      <c r="F21" s="18">
        <f t="shared" si="0"/>
        <v>0.51961524227066325</v>
      </c>
    </row>
    <row r="22" spans="1:14" ht="16.5" customHeight="1" x14ac:dyDescent="0.2">
      <c r="A22" s="19" t="s">
        <v>46</v>
      </c>
      <c r="B22" s="20">
        <f>IF(B4='Sensor Data'!L2,Formulas!B19,IF(B4='Sensor Data'!L3,Formulas!B20,IF(B4='Sensor Data'!L4,Formulas!B21,IF(B4='Sensor Data'!L5,Formulas!B22,IF(B4='Sensor Data'!L6,Formulas!B23)))))</f>
        <v>0.54200542005420105</v>
      </c>
      <c r="C22" s="81" t="s">
        <v>25</v>
      </c>
      <c r="D22" s="82"/>
      <c r="E22" s="21">
        <f>SQRT(2)</f>
        <v>1.4142135623730951</v>
      </c>
      <c r="F22" s="18">
        <f t="shared" si="0"/>
        <v>0.38325570796018871</v>
      </c>
    </row>
    <row r="23" spans="1:14" ht="16.5" customHeight="1" x14ac:dyDescent="0.2">
      <c r="A23" s="19" t="s">
        <v>47</v>
      </c>
      <c r="B23" s="20">
        <f>IF(B4='Sensor Data'!L2,Formulas!B25,IF(B4='Sensor Data'!L3,Formulas!B26,IF(B4='Sensor Data'!L4,Formulas!B27,IF(B4='Sensor Data'!L5,Formulas!B28,IF(B4='Sensor Data'!L6,Formulas!B29)))))</f>
        <v>0.5</v>
      </c>
      <c r="C23" s="79" t="s">
        <v>16</v>
      </c>
      <c r="D23" s="80"/>
      <c r="E23" s="21">
        <f>SQRT(3)</f>
        <v>1.7320508075688772</v>
      </c>
      <c r="F23" s="18">
        <f t="shared" si="0"/>
        <v>0.28867513459481292</v>
      </c>
    </row>
    <row r="24" spans="1:14" ht="16.5" customHeight="1" x14ac:dyDescent="0.2">
      <c r="A24" s="22" t="s">
        <v>48</v>
      </c>
      <c r="B24" s="23">
        <f>0.93+(0.069*ABS(B15-B14))</f>
        <v>0.93</v>
      </c>
      <c r="C24" s="79" t="s">
        <v>16</v>
      </c>
      <c r="D24" s="80"/>
      <c r="E24" s="21">
        <f>SQRT(3)</f>
        <v>1.7320508075688772</v>
      </c>
      <c r="F24" s="24">
        <f t="shared" ref="F24" si="1">B24/E24</f>
        <v>0.53693575034635199</v>
      </c>
    </row>
    <row r="25" spans="1:14" ht="16.5" customHeight="1" x14ac:dyDescent="0.2">
      <c r="A25" s="22" t="s">
        <v>49</v>
      </c>
      <c r="B25" s="23">
        <f>IF(B4='Sensor Data'!L2,Formulas!B31,IF(B4='Sensor Data'!L3,Formulas!B32,IF(B4='Sensor Data'!L4,Formulas!B33,IF(B4='Sensor Data'!L5,Formulas!B34,IF(B4='Sensor Data'!L6,Formulas!B35)))))</f>
        <v>9.9999999999999991E-5</v>
      </c>
      <c r="C25" s="98" t="s">
        <v>15</v>
      </c>
      <c r="D25" s="99"/>
      <c r="E25" s="21">
        <v>2</v>
      </c>
      <c r="F25" s="24">
        <f>B25/E25</f>
        <v>4.9999999999999996E-5</v>
      </c>
    </row>
    <row r="26" spans="1:14" ht="16.5" customHeight="1" x14ac:dyDescent="0.2">
      <c r="A26" s="22" t="s">
        <v>50</v>
      </c>
      <c r="B26" s="20">
        <f>IF(B4='Sensor Data'!L2,Formulas!B37,IF(B4='Sensor Data'!L3,Formulas!B38,IF(B4='Sensor Data'!L4,Formulas!B39,IF(B4='Sensor Data'!L5,Formulas!B40,IF(B4='Sensor Data'!L6,Formulas!B41)))))</f>
        <v>1.4</v>
      </c>
      <c r="C26" s="79" t="s">
        <v>15</v>
      </c>
      <c r="D26" s="80"/>
      <c r="E26" s="21">
        <v>1</v>
      </c>
      <c r="F26" s="18">
        <f t="shared" si="0"/>
        <v>1.4</v>
      </c>
    </row>
    <row r="27" spans="1:14" ht="16.5" customHeight="1" x14ac:dyDescent="0.2">
      <c r="A27" s="19" t="s">
        <v>17</v>
      </c>
      <c r="B27" s="102"/>
      <c r="C27" s="102"/>
      <c r="D27" s="102"/>
      <c r="E27" s="102"/>
      <c r="F27" s="103"/>
    </row>
    <row r="28" spans="1:14" ht="16.5" customHeight="1" thickBot="1" x14ac:dyDescent="0.25">
      <c r="A28" s="25" t="s">
        <v>51</v>
      </c>
      <c r="B28" s="26">
        <f>((1+(B10-1)/(B10+1)*(B5-1)/(B5+1))^2-1)*100</f>
        <v>0</v>
      </c>
      <c r="C28" s="100" t="s">
        <v>25</v>
      </c>
      <c r="D28" s="101"/>
      <c r="E28" s="27">
        <f>SQRT(2)</f>
        <v>1.4142135623730951</v>
      </c>
      <c r="F28" s="28">
        <f t="shared" ref="F28" si="2">B28/E28</f>
        <v>0</v>
      </c>
    </row>
    <row r="29" spans="1:14" ht="16.7" customHeight="1" thickBot="1" x14ac:dyDescent="0.25">
      <c r="B29" s="29"/>
      <c r="C29" s="29"/>
    </row>
    <row r="30" spans="1:14" ht="16.7" customHeight="1" thickBot="1" x14ac:dyDescent="0.3">
      <c r="A30" s="30" t="s">
        <v>18</v>
      </c>
      <c r="B30" s="31"/>
      <c r="C30" s="31"/>
      <c r="D30" s="31"/>
      <c r="E30" s="31"/>
      <c r="F30" s="31"/>
      <c r="G30" s="31"/>
    </row>
    <row r="31" spans="1:14" ht="16.7" customHeight="1" x14ac:dyDescent="0.2">
      <c r="A31" s="32" t="s">
        <v>19</v>
      </c>
      <c r="B31" s="77" t="s">
        <v>20</v>
      </c>
      <c r="C31" s="104"/>
      <c r="D31" s="104"/>
      <c r="E31" s="104"/>
      <c r="F31" s="78"/>
      <c r="G31" s="33">
        <f>SQRT(SUMSQ(F20:F26,F28:F28))</f>
        <v>1.6608787654483992</v>
      </c>
    </row>
    <row r="32" spans="1:14" ht="16.7" customHeight="1" x14ac:dyDescent="0.2">
      <c r="A32" s="11" t="s">
        <v>21</v>
      </c>
      <c r="B32" s="12" t="s">
        <v>22</v>
      </c>
      <c r="C32" s="12"/>
      <c r="D32" s="76">
        <v>2</v>
      </c>
      <c r="E32" s="9" t="s">
        <v>15</v>
      </c>
      <c r="F32" s="9" t="s">
        <v>23</v>
      </c>
      <c r="G32" s="10">
        <f>G31*D32</f>
        <v>3.3217575308967984</v>
      </c>
    </row>
    <row r="33" spans="1:7" ht="16.7" customHeight="1" thickBot="1" x14ac:dyDescent="0.25">
      <c r="A33" s="2" t="s">
        <v>24</v>
      </c>
      <c r="B33" s="3" t="s">
        <v>22</v>
      </c>
      <c r="C33" s="3"/>
      <c r="D33" s="4">
        <f>D32</f>
        <v>2</v>
      </c>
      <c r="E33" s="5">
        <f>IFERROR(10*LOG(1-G32/100),"N/A")</f>
        <v>-0.14671253308948334</v>
      </c>
      <c r="F33" s="6" t="s">
        <v>37</v>
      </c>
      <c r="G33" s="7">
        <f>10*LOG(1+G32/100)</f>
        <v>0.14191785030106258</v>
      </c>
    </row>
  </sheetData>
  <sheetProtection algorithmName="SHA-512" hashValue="oUPNDkir+DwbH/DMb01troF2ZEq/m3X7iNc7wd9oxo8qea7d9fEmbu2OhzUTmIAuVFM6x9wdOL+S99z0lnKwdQ==" saltValue="xv6i+M+AXwS7tic9pnRiMg==" spinCount="100000" sheet="1" selectLockedCells="1"/>
  <mergeCells count="18">
    <mergeCell ref="C25:D25"/>
    <mergeCell ref="C26:D26"/>
    <mergeCell ref="C28:D28"/>
    <mergeCell ref="B27:F27"/>
    <mergeCell ref="B31:F31"/>
    <mergeCell ref="A1:G1"/>
    <mergeCell ref="A18:A19"/>
    <mergeCell ref="B18:B19"/>
    <mergeCell ref="E18:E19"/>
    <mergeCell ref="F18:F19"/>
    <mergeCell ref="E4:F4"/>
    <mergeCell ref="C4:D4"/>
    <mergeCell ref="C18:D19"/>
    <mergeCell ref="C20:D20"/>
    <mergeCell ref="C21:D21"/>
    <mergeCell ref="C22:D22"/>
    <mergeCell ref="C23:D23"/>
    <mergeCell ref="C24:D24"/>
  </mergeCells>
  <dataValidations count="5">
    <dataValidation type="decimal" operator="greaterThanOrEqual" allowBlank="1" showInputMessage="1" showErrorMessage="1" error="Invalid value, must be =&gt;1." sqref="B10" xr:uid="{00000000-0002-0000-0000-000000000000}">
      <formula1>1</formula1>
    </dataValidation>
    <dataValidation type="whole" allowBlank="1" showInputMessage="1" showErrorMessage="1" error="Rnage between 1 and 3" sqref="D32" xr:uid="{00000000-0002-0000-0000-000001000000}">
      <formula1>1</formula1>
      <formula2>3</formula2>
    </dataValidation>
    <dataValidation type="decimal" allowBlank="1" showInputMessage="1" showErrorMessage="1" error="Value must be between 0 C and 55 C." sqref="B14:B15" xr:uid="{B2696402-99F2-4EBA-A882-7E00A0077BDD}">
      <formula1>0</formula1>
      <formula2>55</formula2>
    </dataValidation>
    <dataValidation type="decimal" showInputMessage="1" showErrorMessage="1" error="Must be in sensor measurement range." sqref="B8" xr:uid="{FE07092C-7766-4624-AD05-4F1B312E62B3}">
      <formula1>C5</formula1>
      <formula2>D5</formula2>
    </dataValidation>
    <dataValidation type="decimal" showInputMessage="1" showErrorMessage="1" error="Must be in sensor frequency range." sqref="B9" xr:uid="{D60E24E8-6DA2-4C17-8538-5FA6E64C7D58}">
      <formula1>E5</formula1>
      <formula2>F5</formula2>
    </dataValidation>
  </dataValidations>
  <pageMargins left="0.7" right="0.7" top="0.75" bottom="0.75" header="0.3" footer="0.3"/>
  <pageSetup orientation="portrait" r:id="rId1"/>
  <ignoredErrors>
    <ignoredError sqref="E22" formula="1"/>
    <ignoredError sqref="E12 D9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Please only select from list." xr:uid="{91714414-D466-451F-B254-4A82B2D6CA33}">
          <x14:formula1>
            <xm:f>'Sensor Data'!$L$2:$L$6</xm:f>
          </x14:formula1>
          <xm:sqref>B4</xm:sqref>
        </x14:dataValidation>
        <x14:dataValidation type="list" allowBlank="1" showInputMessage="1" showErrorMessage="1" error="PULSE or CW only" xr:uid="{60FEE0EA-E56B-4987-8313-D9F4A288BC51}">
          <x14:formula1>
            <xm:f>'Sensor Data'!$A$19:$A$20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3"/>
  <sheetViews>
    <sheetView workbookViewId="0">
      <pane ySplit="1" topLeftCell="A2" activePane="bottomLeft" state="frozen"/>
      <selection sqref="A1:G1"/>
      <selection pane="bottomLeft" sqref="A1:G1"/>
    </sheetView>
  </sheetViews>
  <sheetFormatPr defaultRowHeight="15" x14ac:dyDescent="0.25"/>
  <cols>
    <col min="1" max="1" width="27.42578125" style="51" bestFit="1" customWidth="1"/>
    <col min="2" max="2" width="9.140625" style="51"/>
    <col min="12" max="12" width="16.7109375" bestFit="1" customWidth="1"/>
  </cols>
  <sheetData>
    <row r="1" spans="1:12" x14ac:dyDescent="0.25">
      <c r="B1" s="105" t="s">
        <v>80</v>
      </c>
      <c r="C1" s="105"/>
      <c r="D1" s="106" t="s">
        <v>81</v>
      </c>
      <c r="E1" s="106"/>
      <c r="F1" s="105" t="s">
        <v>82</v>
      </c>
      <c r="G1" s="105"/>
      <c r="H1" s="106" t="s">
        <v>83</v>
      </c>
      <c r="I1" s="106"/>
      <c r="J1" s="105" t="s">
        <v>84</v>
      </c>
      <c r="K1" s="105"/>
      <c r="L1" t="s">
        <v>58</v>
      </c>
    </row>
    <row r="2" spans="1:12" x14ac:dyDescent="0.25">
      <c r="A2" s="51" t="s">
        <v>26</v>
      </c>
      <c r="B2" s="53"/>
      <c r="C2" s="53"/>
      <c r="F2" s="53"/>
      <c r="G2" s="53"/>
      <c r="J2" s="53"/>
      <c r="K2" s="53"/>
      <c r="L2" t="str">
        <f>B1</f>
        <v>MA24406A</v>
      </c>
    </row>
    <row r="3" spans="1:12" x14ac:dyDescent="0.25">
      <c r="A3" s="51" t="s">
        <v>27</v>
      </c>
      <c r="B3" s="53"/>
      <c r="C3" s="59">
        <v>0.05</v>
      </c>
      <c r="D3" s="56"/>
      <c r="E3" s="57">
        <v>0.05</v>
      </c>
      <c r="F3" s="59"/>
      <c r="G3" s="59">
        <v>0.05</v>
      </c>
      <c r="H3" s="56"/>
      <c r="I3" s="57">
        <v>0.05</v>
      </c>
      <c r="J3" s="59"/>
      <c r="K3" s="59">
        <v>0.05</v>
      </c>
      <c r="L3" t="str">
        <f>D1</f>
        <v>MA24418A</v>
      </c>
    </row>
    <row r="4" spans="1:12" x14ac:dyDescent="0.25">
      <c r="A4" s="51" t="s">
        <v>28</v>
      </c>
      <c r="B4" s="53"/>
      <c r="C4" s="59">
        <v>6</v>
      </c>
      <c r="D4" s="56"/>
      <c r="E4" s="56">
        <v>18</v>
      </c>
      <c r="F4" s="59"/>
      <c r="G4" s="59">
        <v>18</v>
      </c>
      <c r="H4" s="56"/>
      <c r="I4" s="56">
        <v>40</v>
      </c>
      <c r="J4" s="59"/>
      <c r="K4" s="59">
        <v>40</v>
      </c>
      <c r="L4" t="str">
        <f>F1</f>
        <v>MA24419A</v>
      </c>
    </row>
    <row r="5" spans="1:12" x14ac:dyDescent="0.25">
      <c r="A5" s="51" t="s">
        <v>29</v>
      </c>
      <c r="B5" s="53"/>
      <c r="C5" s="59"/>
      <c r="D5" s="56"/>
      <c r="E5" s="56"/>
      <c r="F5" s="59"/>
      <c r="G5" s="59"/>
      <c r="H5" s="56"/>
      <c r="I5" s="56"/>
      <c r="J5" s="59"/>
      <c r="K5" s="59"/>
      <c r="L5" t="str">
        <f>H1</f>
        <v>MA24440A</v>
      </c>
    </row>
    <row r="6" spans="1:12" x14ac:dyDescent="0.25">
      <c r="A6" s="51" t="s">
        <v>30</v>
      </c>
      <c r="B6" s="53"/>
      <c r="C6" s="59"/>
      <c r="D6" s="56"/>
      <c r="E6" s="56"/>
      <c r="F6" s="59"/>
      <c r="G6" s="59"/>
      <c r="H6" s="56"/>
      <c r="I6" s="56"/>
      <c r="J6" s="59"/>
      <c r="K6" s="59"/>
      <c r="L6" t="str">
        <f>J1</f>
        <v>MA24441A</v>
      </c>
    </row>
    <row r="7" spans="1:12" x14ac:dyDescent="0.25">
      <c r="A7" s="51" t="s">
        <v>31</v>
      </c>
      <c r="B7" s="53"/>
      <c r="C7" s="59">
        <v>-50</v>
      </c>
      <c r="D7" s="56"/>
      <c r="E7" s="57">
        <v>-24</v>
      </c>
      <c r="F7" s="59"/>
      <c r="G7" s="59">
        <v>-40</v>
      </c>
      <c r="H7" s="56"/>
      <c r="I7" s="57">
        <v>-24</v>
      </c>
      <c r="J7" s="59"/>
      <c r="K7" s="59">
        <v>-40</v>
      </c>
    </row>
    <row r="8" spans="1:12" x14ac:dyDescent="0.25">
      <c r="A8" s="51" t="s">
        <v>32</v>
      </c>
      <c r="B8" s="53"/>
      <c r="C8" s="59">
        <v>20</v>
      </c>
      <c r="D8" s="56"/>
      <c r="E8" s="57">
        <v>20</v>
      </c>
      <c r="F8" s="59"/>
      <c r="G8" s="59">
        <v>20</v>
      </c>
      <c r="H8" s="56"/>
      <c r="I8" s="57">
        <v>20</v>
      </c>
      <c r="J8" s="59"/>
      <c r="K8" s="59">
        <v>20</v>
      </c>
    </row>
    <row r="9" spans="1:12" x14ac:dyDescent="0.25">
      <c r="A9" s="51" t="s">
        <v>36</v>
      </c>
      <c r="B9" s="53"/>
      <c r="C9" s="59"/>
      <c r="D9" s="56"/>
      <c r="E9" s="57"/>
      <c r="F9" s="59"/>
      <c r="G9" s="59"/>
      <c r="H9" s="56"/>
      <c r="I9" s="57"/>
      <c r="J9" s="59"/>
      <c r="K9" s="59"/>
    </row>
    <row r="10" spans="1:12" x14ac:dyDescent="0.25">
      <c r="A10" s="51" t="s">
        <v>31</v>
      </c>
      <c r="B10" s="53"/>
      <c r="C10" s="59">
        <v>-60</v>
      </c>
      <c r="D10" s="56"/>
      <c r="E10" s="57">
        <v>-34</v>
      </c>
      <c r="F10" s="59"/>
      <c r="G10" s="59">
        <v>-50</v>
      </c>
      <c r="H10" s="56"/>
      <c r="I10" s="57">
        <v>-34</v>
      </c>
      <c r="J10" s="59"/>
      <c r="K10" s="59">
        <v>-50</v>
      </c>
    </row>
    <row r="11" spans="1:12" x14ac:dyDescent="0.25">
      <c r="A11" s="51" t="s">
        <v>32</v>
      </c>
      <c r="B11" s="53"/>
      <c r="C11" s="59">
        <v>20</v>
      </c>
      <c r="D11" s="56"/>
      <c r="E11" s="57">
        <v>20</v>
      </c>
      <c r="F11" s="59"/>
      <c r="G11" s="59">
        <v>20</v>
      </c>
      <c r="H11" s="56"/>
      <c r="I11" s="57">
        <v>20</v>
      </c>
      <c r="J11" s="59"/>
      <c r="K11" s="59">
        <v>20</v>
      </c>
    </row>
    <row r="12" spans="1:12" x14ac:dyDescent="0.25">
      <c r="A12" s="51" t="s">
        <v>2</v>
      </c>
      <c r="B12" s="53"/>
      <c r="C12" s="53"/>
      <c r="F12" s="53"/>
      <c r="G12" s="53"/>
      <c r="J12" s="53"/>
      <c r="K12" s="53"/>
    </row>
    <row r="13" spans="1:12" s="1" customFormat="1" x14ac:dyDescent="0.25">
      <c r="B13" s="53">
        <v>0.05</v>
      </c>
      <c r="C13" s="53">
        <v>1.25</v>
      </c>
      <c r="D13" s="51">
        <v>0.05</v>
      </c>
      <c r="E13" s="1">
        <v>1.1499999999999999</v>
      </c>
      <c r="F13" s="53">
        <v>0.05</v>
      </c>
      <c r="G13" s="53">
        <v>1.1499999999999999</v>
      </c>
      <c r="H13" s="51">
        <v>0.05</v>
      </c>
      <c r="I13" s="51">
        <v>1.25</v>
      </c>
      <c r="J13" s="53">
        <v>0.05</v>
      </c>
      <c r="K13" s="53">
        <v>1.25</v>
      </c>
    </row>
    <row r="14" spans="1:12" s="1" customFormat="1" x14ac:dyDescent="0.25">
      <c r="B14" s="53">
        <v>6</v>
      </c>
      <c r="C14" s="60">
        <v>1.25</v>
      </c>
      <c r="D14" s="1">
        <v>2</v>
      </c>
      <c r="E14" s="56">
        <v>1.1499999999999999</v>
      </c>
      <c r="F14" s="53">
        <v>2</v>
      </c>
      <c r="G14" s="59">
        <v>1.1499999999999999</v>
      </c>
      <c r="H14" s="1">
        <v>4</v>
      </c>
      <c r="I14" s="57">
        <v>1.25</v>
      </c>
      <c r="J14" s="53">
        <v>4</v>
      </c>
      <c r="K14" s="59">
        <v>1.25</v>
      </c>
    </row>
    <row r="15" spans="1:12" s="1" customFormat="1" x14ac:dyDescent="0.25">
      <c r="A15" s="51"/>
      <c r="B15" s="53"/>
      <c r="C15" s="53"/>
      <c r="D15" s="1">
        <v>16</v>
      </c>
      <c r="E15" s="56">
        <v>1.28</v>
      </c>
      <c r="F15" s="53">
        <v>6</v>
      </c>
      <c r="G15" s="60">
        <v>1.2</v>
      </c>
      <c r="H15" s="1">
        <v>38</v>
      </c>
      <c r="I15" s="57">
        <v>1.65</v>
      </c>
      <c r="J15" s="53">
        <v>38</v>
      </c>
      <c r="K15" s="59">
        <v>1.65</v>
      </c>
    </row>
    <row r="16" spans="1:12" x14ac:dyDescent="0.25">
      <c r="B16" s="53"/>
      <c r="C16" s="53"/>
      <c r="D16">
        <v>18</v>
      </c>
      <c r="E16" s="56">
        <v>1.34</v>
      </c>
      <c r="F16" s="53">
        <v>16</v>
      </c>
      <c r="G16" s="59">
        <v>1.28</v>
      </c>
      <c r="H16">
        <v>40</v>
      </c>
      <c r="I16" s="58">
        <v>2</v>
      </c>
      <c r="J16" s="53">
        <v>40</v>
      </c>
      <c r="K16" s="60">
        <v>2</v>
      </c>
    </row>
    <row r="17" spans="1:19" x14ac:dyDescent="0.25">
      <c r="B17" s="53"/>
      <c r="C17" s="53"/>
      <c r="F17" s="53">
        <v>18</v>
      </c>
      <c r="G17" s="60">
        <v>1.34</v>
      </c>
      <c r="J17" s="53"/>
      <c r="K17" s="53"/>
    </row>
    <row r="18" spans="1:19" x14ac:dyDescent="0.25">
      <c r="A18" s="51" t="s">
        <v>35</v>
      </c>
      <c r="B18" s="53"/>
      <c r="C18" s="53"/>
      <c r="F18" s="53"/>
      <c r="G18" s="53"/>
      <c r="J18" s="53"/>
      <c r="K18" s="53"/>
    </row>
    <row r="19" spans="1:19" x14ac:dyDescent="0.25">
      <c r="A19" s="1" t="s">
        <v>73</v>
      </c>
      <c r="B19" s="53" t="s">
        <v>59</v>
      </c>
      <c r="C19" s="59">
        <v>10</v>
      </c>
      <c r="D19" s="1" t="s">
        <v>59</v>
      </c>
      <c r="E19" s="57">
        <v>4000</v>
      </c>
      <c r="F19" s="53" t="s">
        <v>59</v>
      </c>
      <c r="G19" s="59">
        <v>50</v>
      </c>
      <c r="H19" s="1" t="s">
        <v>59</v>
      </c>
      <c r="I19" s="57">
        <v>4000</v>
      </c>
      <c r="J19" s="53" t="s">
        <v>59</v>
      </c>
      <c r="K19" s="59">
        <v>50</v>
      </c>
    </row>
    <row r="20" spans="1:19" x14ac:dyDescent="0.25">
      <c r="A20" s="51" t="s">
        <v>74</v>
      </c>
      <c r="B20" s="53" t="s">
        <v>36</v>
      </c>
      <c r="C20" s="59">
        <v>1</v>
      </c>
      <c r="D20" s="51" t="s">
        <v>36</v>
      </c>
      <c r="E20" s="57">
        <v>400</v>
      </c>
      <c r="F20" s="53" t="s">
        <v>36</v>
      </c>
      <c r="G20" s="59">
        <v>5</v>
      </c>
      <c r="H20" s="51" t="s">
        <v>36</v>
      </c>
      <c r="I20" s="57">
        <v>400</v>
      </c>
      <c r="J20" s="53" t="s">
        <v>36</v>
      </c>
      <c r="K20" s="59">
        <v>5</v>
      </c>
    </row>
    <row r="21" spans="1:19" x14ac:dyDescent="0.25">
      <c r="A21" s="51" t="s">
        <v>39</v>
      </c>
      <c r="B21" s="53">
        <v>0.5</v>
      </c>
      <c r="C21" s="61">
        <v>2.2999999999999998</v>
      </c>
      <c r="D21" s="51">
        <v>0.5</v>
      </c>
      <c r="E21" s="62">
        <v>2.2999999999999998</v>
      </c>
      <c r="F21" s="53">
        <v>0.5</v>
      </c>
      <c r="G21" s="61">
        <v>4</v>
      </c>
      <c r="H21" s="51">
        <v>0.5</v>
      </c>
      <c r="I21" s="62">
        <v>2.2999999999999998</v>
      </c>
      <c r="J21" s="53">
        <v>0.5</v>
      </c>
      <c r="K21" s="61">
        <v>4.7</v>
      </c>
    </row>
    <row r="22" spans="1:19" x14ac:dyDescent="0.25">
      <c r="A22" s="51" t="s">
        <v>33</v>
      </c>
      <c r="B22" s="53" t="s">
        <v>56</v>
      </c>
      <c r="C22" s="53"/>
      <c r="F22" s="53"/>
      <c r="G22" s="53"/>
      <c r="J22" s="53"/>
      <c r="K22" s="53"/>
    </row>
    <row r="23" spans="1:19" s="1" customFormat="1" x14ac:dyDescent="0.25">
      <c r="A23" s="51" t="s">
        <v>34</v>
      </c>
      <c r="B23" s="54"/>
      <c r="C23" s="53"/>
      <c r="F23" s="53"/>
      <c r="G23" s="53"/>
      <c r="J23" s="53"/>
      <c r="K23" s="53"/>
      <c r="N23" s="51"/>
      <c r="O23" s="51"/>
      <c r="P23" s="51"/>
      <c r="Q23" s="51"/>
      <c r="R23" s="51"/>
      <c r="S23" s="51"/>
    </row>
    <row r="24" spans="1:19" s="1" customFormat="1" x14ac:dyDescent="0.25">
      <c r="A24" s="51"/>
      <c r="B24" s="53">
        <v>0.5</v>
      </c>
      <c r="C24" s="63">
        <v>1.4</v>
      </c>
      <c r="D24" s="51">
        <v>0.5</v>
      </c>
      <c r="E24" s="56">
        <v>1.4</v>
      </c>
      <c r="F24" s="53">
        <v>0.5</v>
      </c>
      <c r="G24" s="63">
        <v>1</v>
      </c>
      <c r="H24" s="51">
        <v>0.5</v>
      </c>
      <c r="I24" s="64">
        <v>1.7</v>
      </c>
      <c r="J24" s="53">
        <v>0.5</v>
      </c>
      <c r="K24" s="63">
        <v>1.5</v>
      </c>
      <c r="N24" s="51"/>
      <c r="O24" s="51"/>
      <c r="P24" s="51"/>
      <c r="Q24" s="51"/>
      <c r="R24" s="51"/>
      <c r="S24" s="51"/>
    </row>
    <row r="25" spans="1:19" s="1" customFormat="1" x14ac:dyDescent="0.25">
      <c r="A25" s="51"/>
      <c r="B25" s="53">
        <v>1</v>
      </c>
      <c r="C25" s="63">
        <v>1.4</v>
      </c>
      <c r="D25" s="51">
        <v>1</v>
      </c>
      <c r="E25" s="56">
        <v>1.4</v>
      </c>
      <c r="F25" s="53">
        <v>1</v>
      </c>
      <c r="G25" s="63">
        <v>1.1000000000000001</v>
      </c>
      <c r="H25" s="51">
        <v>1</v>
      </c>
      <c r="I25" s="64">
        <v>1.3</v>
      </c>
      <c r="J25" s="53">
        <v>1</v>
      </c>
      <c r="K25" s="63">
        <v>1.1000000000000001</v>
      </c>
      <c r="N25" s="51"/>
      <c r="O25" s="51"/>
      <c r="P25" s="51"/>
      <c r="Q25" s="51"/>
      <c r="R25" s="51"/>
      <c r="S25" s="51"/>
    </row>
    <row r="26" spans="1:19" s="1" customFormat="1" x14ac:dyDescent="0.25">
      <c r="A26" s="51"/>
      <c r="B26" s="53">
        <v>2</v>
      </c>
      <c r="C26" s="63">
        <v>1.4</v>
      </c>
      <c r="D26" s="51">
        <v>2</v>
      </c>
      <c r="E26" s="56">
        <v>1.4</v>
      </c>
      <c r="F26" s="53">
        <v>2</v>
      </c>
      <c r="G26" s="63">
        <v>1.5</v>
      </c>
      <c r="H26" s="51">
        <v>2</v>
      </c>
      <c r="I26" s="64">
        <v>1.3</v>
      </c>
      <c r="J26" s="53">
        <v>2</v>
      </c>
      <c r="K26" s="63">
        <v>1.2</v>
      </c>
      <c r="N26" s="51"/>
      <c r="O26" s="51"/>
      <c r="P26" s="51"/>
      <c r="Q26" s="51"/>
      <c r="R26" s="51"/>
      <c r="S26" s="51"/>
    </row>
    <row r="27" spans="1:19" s="1" customFormat="1" x14ac:dyDescent="0.25">
      <c r="A27" s="51"/>
      <c r="B27" s="53">
        <v>3</v>
      </c>
      <c r="C27" s="63">
        <v>1.5</v>
      </c>
      <c r="D27" s="51">
        <v>3</v>
      </c>
      <c r="E27" s="56">
        <v>1.4</v>
      </c>
      <c r="F27" s="53">
        <v>3</v>
      </c>
      <c r="G27" s="63">
        <v>1.5</v>
      </c>
      <c r="H27" s="51">
        <v>3</v>
      </c>
      <c r="I27" s="64">
        <v>1.5</v>
      </c>
      <c r="J27" s="53">
        <v>3</v>
      </c>
      <c r="K27" s="63">
        <v>1.3</v>
      </c>
      <c r="N27" s="51"/>
      <c r="O27" s="51"/>
      <c r="P27" s="51"/>
      <c r="Q27" s="51"/>
      <c r="R27" s="51"/>
      <c r="S27" s="51"/>
    </row>
    <row r="28" spans="1:19" s="1" customFormat="1" x14ac:dyDescent="0.25">
      <c r="A28" s="51"/>
      <c r="B28" s="53">
        <v>4</v>
      </c>
      <c r="C28" s="63">
        <v>1.5</v>
      </c>
      <c r="D28" s="51">
        <v>4</v>
      </c>
      <c r="E28" s="56">
        <v>1.5</v>
      </c>
      <c r="F28" s="53">
        <v>4</v>
      </c>
      <c r="G28" s="63">
        <v>1.3</v>
      </c>
      <c r="H28" s="51">
        <v>4</v>
      </c>
      <c r="I28" s="64">
        <v>1.7</v>
      </c>
      <c r="J28" s="53">
        <v>4</v>
      </c>
      <c r="K28" s="63">
        <v>1.5</v>
      </c>
      <c r="N28" s="51"/>
      <c r="O28" s="51"/>
      <c r="P28" s="51"/>
      <c r="Q28" s="51"/>
      <c r="R28" s="51"/>
      <c r="S28" s="51"/>
    </row>
    <row r="29" spans="1:19" s="1" customFormat="1" x14ac:dyDescent="0.25">
      <c r="A29" s="51"/>
      <c r="B29" s="53">
        <v>5</v>
      </c>
      <c r="C29" s="63">
        <v>1.5</v>
      </c>
      <c r="D29" s="51">
        <v>5</v>
      </c>
      <c r="E29" s="56">
        <v>1.5</v>
      </c>
      <c r="F29" s="53">
        <v>5</v>
      </c>
      <c r="G29" s="63">
        <v>1.7</v>
      </c>
      <c r="H29" s="51">
        <v>5</v>
      </c>
      <c r="I29" s="64">
        <v>1.8</v>
      </c>
      <c r="J29" s="53">
        <v>5</v>
      </c>
      <c r="K29" s="63">
        <v>1.5</v>
      </c>
      <c r="N29" s="51"/>
      <c r="O29" s="51"/>
      <c r="P29" s="51"/>
      <c r="Q29" s="51"/>
      <c r="R29" s="51"/>
      <c r="S29" s="51"/>
    </row>
    <row r="30" spans="1:19" s="1" customFormat="1" x14ac:dyDescent="0.25">
      <c r="A30" s="51"/>
      <c r="B30" s="53">
        <v>6</v>
      </c>
      <c r="C30" s="63">
        <v>1.5</v>
      </c>
      <c r="D30" s="51">
        <v>6</v>
      </c>
      <c r="E30" s="56">
        <v>1.5</v>
      </c>
      <c r="F30" s="53">
        <v>6</v>
      </c>
      <c r="G30" s="63">
        <v>1.5</v>
      </c>
      <c r="H30" s="51">
        <v>6</v>
      </c>
      <c r="I30" s="64">
        <v>2</v>
      </c>
      <c r="J30" s="53">
        <v>6</v>
      </c>
      <c r="K30" s="63">
        <v>1.6</v>
      </c>
      <c r="N30" s="51"/>
      <c r="O30" s="51"/>
      <c r="P30" s="51"/>
      <c r="Q30" s="51"/>
      <c r="R30" s="51"/>
      <c r="S30" s="51"/>
    </row>
    <row r="31" spans="1:19" s="1" customFormat="1" x14ac:dyDescent="0.25">
      <c r="A31" s="51"/>
      <c r="B31" s="54"/>
      <c r="C31" s="55"/>
      <c r="D31" s="51">
        <v>7</v>
      </c>
      <c r="E31" s="56">
        <v>1.5</v>
      </c>
      <c r="F31" s="53">
        <v>7</v>
      </c>
      <c r="G31" s="63">
        <v>1.1000000000000001</v>
      </c>
      <c r="H31" s="51">
        <v>7</v>
      </c>
      <c r="I31" s="64">
        <v>2.2999999999999998</v>
      </c>
      <c r="J31" s="53">
        <v>7</v>
      </c>
      <c r="K31" s="63">
        <v>1.9</v>
      </c>
      <c r="N31" s="51"/>
      <c r="O31" s="51"/>
      <c r="P31" s="51"/>
      <c r="Q31" s="51"/>
      <c r="R31" s="51"/>
      <c r="S31" s="51"/>
    </row>
    <row r="32" spans="1:19" s="1" customFormat="1" x14ac:dyDescent="0.25">
      <c r="A32" s="51"/>
      <c r="B32" s="54"/>
      <c r="C32" s="55"/>
      <c r="D32" s="51">
        <v>8</v>
      </c>
      <c r="E32" s="56">
        <v>1.6</v>
      </c>
      <c r="F32" s="53">
        <v>8</v>
      </c>
      <c r="G32" s="63">
        <v>1.1000000000000001</v>
      </c>
      <c r="H32" s="51">
        <v>8</v>
      </c>
      <c r="I32" s="64">
        <v>2.6</v>
      </c>
      <c r="J32" s="53">
        <v>8</v>
      </c>
      <c r="K32" s="63">
        <v>2.2000000000000002</v>
      </c>
      <c r="N32" s="51"/>
      <c r="O32" s="51"/>
      <c r="P32" s="51"/>
      <c r="Q32" s="51"/>
      <c r="R32" s="51"/>
      <c r="S32" s="51"/>
    </row>
    <row r="33" spans="1:19" s="1" customFormat="1" x14ac:dyDescent="0.25">
      <c r="A33" s="51"/>
      <c r="B33" s="54"/>
      <c r="C33" s="55"/>
      <c r="D33" s="51">
        <v>9</v>
      </c>
      <c r="E33" s="56">
        <v>1.5</v>
      </c>
      <c r="F33" s="53">
        <v>9</v>
      </c>
      <c r="G33" s="63">
        <v>1.7</v>
      </c>
      <c r="H33" s="51">
        <v>9</v>
      </c>
      <c r="I33" s="64">
        <v>4.4000000000000004</v>
      </c>
      <c r="J33" s="53">
        <v>9</v>
      </c>
      <c r="K33" s="63">
        <v>3.8</v>
      </c>
      <c r="N33" s="51"/>
      <c r="O33" s="51"/>
      <c r="P33" s="51"/>
      <c r="Q33" s="51"/>
      <c r="R33" s="51"/>
      <c r="S33" s="51"/>
    </row>
    <row r="34" spans="1:19" s="1" customFormat="1" x14ac:dyDescent="0.25">
      <c r="A34" s="51"/>
      <c r="B34" s="54"/>
      <c r="C34" s="55"/>
      <c r="D34" s="51">
        <v>10</v>
      </c>
      <c r="E34" s="56">
        <v>1.5</v>
      </c>
      <c r="F34" s="53">
        <v>10</v>
      </c>
      <c r="G34" s="63">
        <v>2.2000000000000002</v>
      </c>
      <c r="H34" s="51">
        <v>10</v>
      </c>
      <c r="I34" s="64">
        <v>4.7</v>
      </c>
      <c r="J34" s="53">
        <v>10</v>
      </c>
      <c r="K34" s="63">
        <v>4.0999999999999996</v>
      </c>
      <c r="N34" s="51"/>
      <c r="O34" s="51"/>
      <c r="P34" s="51"/>
      <c r="Q34" s="51"/>
      <c r="R34" s="51"/>
      <c r="S34" s="51"/>
    </row>
    <row r="35" spans="1:19" s="1" customFormat="1" x14ac:dyDescent="0.25">
      <c r="A35" s="51"/>
      <c r="B35" s="54"/>
      <c r="C35" s="55"/>
      <c r="D35" s="51">
        <v>11</v>
      </c>
      <c r="E35" s="56">
        <v>1.6</v>
      </c>
      <c r="F35" s="53">
        <v>11</v>
      </c>
      <c r="G35" s="63">
        <v>2.5</v>
      </c>
      <c r="H35" s="51">
        <v>11</v>
      </c>
      <c r="I35" s="64">
        <v>5</v>
      </c>
      <c r="J35" s="53">
        <v>11</v>
      </c>
      <c r="K35" s="63">
        <v>4.4000000000000004</v>
      </c>
      <c r="N35" s="51"/>
      <c r="O35" s="51"/>
      <c r="P35" s="51"/>
      <c r="Q35" s="51"/>
      <c r="R35" s="51"/>
      <c r="S35" s="51"/>
    </row>
    <row r="36" spans="1:19" s="1" customFormat="1" x14ac:dyDescent="0.25">
      <c r="A36" s="51"/>
      <c r="B36" s="54"/>
      <c r="C36" s="55"/>
      <c r="D36" s="51">
        <v>12</v>
      </c>
      <c r="E36" s="56">
        <v>1.7</v>
      </c>
      <c r="F36" s="53">
        <v>12</v>
      </c>
      <c r="G36" s="63">
        <v>2.4</v>
      </c>
      <c r="H36" s="51">
        <v>12</v>
      </c>
      <c r="I36" s="64">
        <v>5</v>
      </c>
      <c r="J36" s="53">
        <v>12</v>
      </c>
      <c r="K36" s="63">
        <v>4.4000000000000004</v>
      </c>
      <c r="N36" s="51"/>
      <c r="O36" s="51"/>
      <c r="P36" s="51"/>
      <c r="Q36" s="51"/>
      <c r="R36" s="51"/>
      <c r="S36" s="51"/>
    </row>
    <row r="37" spans="1:19" s="1" customFormat="1" x14ac:dyDescent="0.25">
      <c r="A37" s="51"/>
      <c r="B37" s="54"/>
      <c r="C37" s="55"/>
      <c r="D37" s="51">
        <v>13</v>
      </c>
      <c r="E37" s="56">
        <v>1.6</v>
      </c>
      <c r="F37" s="53">
        <v>13</v>
      </c>
      <c r="G37" s="63">
        <v>2.5</v>
      </c>
      <c r="H37" s="51">
        <v>13</v>
      </c>
      <c r="I37" s="64">
        <v>5</v>
      </c>
      <c r="J37" s="53">
        <v>13</v>
      </c>
      <c r="K37" s="63">
        <v>4.4000000000000004</v>
      </c>
      <c r="N37" s="51"/>
      <c r="O37" s="51"/>
      <c r="P37" s="51"/>
      <c r="Q37" s="51"/>
      <c r="R37" s="51"/>
      <c r="S37" s="51"/>
    </row>
    <row r="38" spans="1:19" s="1" customFormat="1" x14ac:dyDescent="0.25">
      <c r="A38" s="51"/>
      <c r="B38" s="54"/>
      <c r="C38" s="55"/>
      <c r="D38" s="51">
        <v>14</v>
      </c>
      <c r="E38" s="56">
        <v>1.5</v>
      </c>
      <c r="F38" s="53">
        <v>14</v>
      </c>
      <c r="G38" s="63">
        <v>2.7</v>
      </c>
      <c r="H38" s="51">
        <v>14</v>
      </c>
      <c r="I38" s="64">
        <v>5</v>
      </c>
      <c r="J38" s="53">
        <v>14</v>
      </c>
      <c r="K38" s="63">
        <v>4.5</v>
      </c>
      <c r="N38" s="51"/>
      <c r="O38" s="51"/>
      <c r="P38" s="51"/>
      <c r="Q38" s="51"/>
      <c r="R38" s="51"/>
      <c r="S38" s="51"/>
    </row>
    <row r="39" spans="1:19" s="1" customFormat="1" x14ac:dyDescent="0.25">
      <c r="A39" s="51"/>
      <c r="B39" s="54"/>
      <c r="C39" s="55"/>
      <c r="D39" s="51">
        <v>15</v>
      </c>
      <c r="E39" s="56">
        <v>1.6</v>
      </c>
      <c r="F39" s="53">
        <v>15</v>
      </c>
      <c r="G39" s="63">
        <v>2.5</v>
      </c>
      <c r="H39" s="51">
        <v>15</v>
      </c>
      <c r="I39" s="64">
        <v>4.5999999999999996</v>
      </c>
      <c r="J39" s="53">
        <v>15</v>
      </c>
      <c r="K39" s="63">
        <v>4.4000000000000004</v>
      </c>
      <c r="N39" s="51"/>
      <c r="O39" s="51"/>
      <c r="P39" s="51"/>
      <c r="Q39" s="51"/>
      <c r="R39" s="51"/>
      <c r="S39" s="51"/>
    </row>
    <row r="40" spans="1:19" s="1" customFormat="1" x14ac:dyDescent="0.25">
      <c r="A40" s="51"/>
      <c r="B40" s="54"/>
      <c r="C40" s="55"/>
      <c r="D40" s="51">
        <v>16</v>
      </c>
      <c r="E40" s="56">
        <v>1.7</v>
      </c>
      <c r="F40" s="53">
        <v>16</v>
      </c>
      <c r="G40" s="63">
        <v>3</v>
      </c>
      <c r="H40" s="51">
        <v>16</v>
      </c>
      <c r="I40" s="64">
        <v>4.0999999999999996</v>
      </c>
      <c r="J40" s="53">
        <v>16</v>
      </c>
      <c r="K40" s="63">
        <v>4</v>
      </c>
      <c r="N40" s="51"/>
      <c r="O40" s="51"/>
      <c r="P40" s="51"/>
      <c r="Q40" s="51"/>
      <c r="R40" s="51"/>
      <c r="S40" s="51"/>
    </row>
    <row r="41" spans="1:19" x14ac:dyDescent="0.25">
      <c r="B41" s="53"/>
      <c r="C41" s="55"/>
      <c r="D41" s="51">
        <v>17</v>
      </c>
      <c r="E41" s="56">
        <v>1.6</v>
      </c>
      <c r="F41" s="53">
        <v>17</v>
      </c>
      <c r="G41" s="63">
        <v>2.5</v>
      </c>
      <c r="H41" s="51">
        <v>17</v>
      </c>
      <c r="I41" s="64">
        <v>3.7</v>
      </c>
      <c r="J41" s="53">
        <v>17</v>
      </c>
      <c r="K41" s="63">
        <v>3.7</v>
      </c>
      <c r="N41" s="51"/>
      <c r="O41" s="51"/>
      <c r="P41" s="51"/>
      <c r="Q41" s="51"/>
      <c r="R41" s="51"/>
      <c r="S41" s="51"/>
    </row>
    <row r="42" spans="1:19" s="1" customFormat="1" x14ac:dyDescent="0.25">
      <c r="A42" s="51"/>
      <c r="B42" s="53"/>
      <c r="C42" s="55"/>
      <c r="D42" s="51">
        <v>18</v>
      </c>
      <c r="E42" s="56">
        <v>1.6</v>
      </c>
      <c r="F42" s="53">
        <v>18</v>
      </c>
      <c r="G42" s="63">
        <v>2.4</v>
      </c>
      <c r="H42" s="51">
        <v>18</v>
      </c>
      <c r="I42" s="64">
        <v>3.5</v>
      </c>
      <c r="J42" s="53">
        <v>18</v>
      </c>
      <c r="K42" s="63">
        <v>3.7</v>
      </c>
      <c r="N42" s="51"/>
      <c r="O42" s="51"/>
      <c r="P42" s="51"/>
      <c r="Q42" s="51"/>
      <c r="R42" s="51"/>
      <c r="S42" s="51"/>
    </row>
    <row r="43" spans="1:19" x14ac:dyDescent="0.25">
      <c r="B43" s="53"/>
      <c r="C43" s="53"/>
      <c r="F43" s="53"/>
      <c r="G43" s="53"/>
      <c r="H43" s="51">
        <v>19</v>
      </c>
      <c r="I43" s="64">
        <v>3.6</v>
      </c>
      <c r="J43" s="53">
        <v>19</v>
      </c>
      <c r="K43" s="63">
        <v>4.2</v>
      </c>
      <c r="N43" s="51"/>
      <c r="O43" s="51"/>
      <c r="P43" s="51"/>
      <c r="Q43" s="51"/>
      <c r="R43" s="51"/>
      <c r="S43" s="51"/>
    </row>
    <row r="44" spans="1:19" x14ac:dyDescent="0.25">
      <c r="B44" s="53"/>
      <c r="C44" s="53"/>
      <c r="F44" s="53"/>
      <c r="G44" s="53"/>
      <c r="H44" s="51">
        <v>20</v>
      </c>
      <c r="I44" s="64">
        <v>3.7</v>
      </c>
      <c r="J44" s="53">
        <v>20</v>
      </c>
      <c r="K44" s="63">
        <v>4.4000000000000004</v>
      </c>
      <c r="N44" s="51"/>
      <c r="O44" s="51"/>
      <c r="P44" s="51"/>
      <c r="Q44" s="51"/>
      <c r="R44" s="51"/>
      <c r="S44" s="51"/>
    </row>
    <row r="45" spans="1:19" s="1" customFormat="1" x14ac:dyDescent="0.25">
      <c r="A45" s="51"/>
      <c r="B45" s="53"/>
      <c r="C45" s="53"/>
      <c r="F45" s="53"/>
      <c r="G45" s="53"/>
      <c r="H45" s="51">
        <v>21</v>
      </c>
      <c r="I45" s="64">
        <v>4.2</v>
      </c>
      <c r="J45" s="53">
        <v>21</v>
      </c>
      <c r="K45" s="63">
        <v>4.5999999999999996</v>
      </c>
    </row>
    <row r="46" spans="1:19" x14ac:dyDescent="0.25">
      <c r="B46" s="53"/>
      <c r="C46" s="53"/>
      <c r="F46" s="53"/>
      <c r="G46" s="53"/>
      <c r="H46" s="51">
        <v>22</v>
      </c>
      <c r="I46" s="64">
        <v>4.5999999999999996</v>
      </c>
      <c r="J46" s="53">
        <v>22</v>
      </c>
      <c r="K46" s="63">
        <v>4.8</v>
      </c>
    </row>
    <row r="47" spans="1:19" x14ac:dyDescent="0.25">
      <c r="B47" s="53"/>
      <c r="C47" s="53"/>
      <c r="F47" s="53"/>
      <c r="G47" s="53"/>
      <c r="H47" s="51">
        <v>23</v>
      </c>
      <c r="I47" s="64">
        <v>4.8</v>
      </c>
      <c r="J47" s="53">
        <v>23</v>
      </c>
      <c r="K47" s="63">
        <v>5</v>
      </c>
    </row>
    <row r="48" spans="1:19" x14ac:dyDescent="0.25">
      <c r="B48" s="53"/>
      <c r="C48" s="53"/>
      <c r="F48" s="53"/>
      <c r="G48" s="53"/>
      <c r="H48" s="51">
        <v>24</v>
      </c>
      <c r="I48" s="64">
        <v>4.8</v>
      </c>
      <c r="J48" s="53">
        <v>24</v>
      </c>
      <c r="K48" s="63">
        <v>5.2</v>
      </c>
    </row>
    <row r="49" spans="2:11" x14ac:dyDescent="0.25">
      <c r="B49" s="53"/>
      <c r="C49" s="53"/>
      <c r="F49" s="53"/>
      <c r="G49" s="53"/>
      <c r="H49" s="51">
        <v>25</v>
      </c>
      <c r="I49" s="64">
        <v>4.8</v>
      </c>
      <c r="J49" s="53">
        <v>25</v>
      </c>
      <c r="K49" s="63">
        <v>4.9000000000000004</v>
      </c>
    </row>
    <row r="50" spans="2:11" x14ac:dyDescent="0.25">
      <c r="B50" s="53"/>
      <c r="C50" s="53"/>
      <c r="F50" s="53"/>
      <c r="G50" s="53"/>
      <c r="H50" s="51">
        <v>26</v>
      </c>
      <c r="I50" s="64">
        <v>5</v>
      </c>
      <c r="J50" s="53">
        <v>26</v>
      </c>
      <c r="K50" s="63">
        <v>5.2</v>
      </c>
    </row>
    <row r="51" spans="2:11" x14ac:dyDescent="0.25">
      <c r="B51" s="53"/>
      <c r="C51" s="53"/>
      <c r="F51" s="53"/>
      <c r="G51" s="53"/>
      <c r="H51" s="51">
        <v>26.5</v>
      </c>
      <c r="I51" s="65">
        <v>5.0999999999999996</v>
      </c>
      <c r="J51" s="53">
        <v>26.5</v>
      </c>
      <c r="K51" s="63">
        <v>5.2</v>
      </c>
    </row>
    <row r="52" spans="2:11" x14ac:dyDescent="0.25">
      <c r="B52" s="53"/>
      <c r="C52" s="53"/>
      <c r="F52" s="53"/>
      <c r="G52" s="53"/>
      <c r="H52" s="51">
        <v>27</v>
      </c>
      <c r="I52" s="65">
        <v>5.6</v>
      </c>
      <c r="J52" s="53">
        <v>27</v>
      </c>
      <c r="K52" s="63">
        <v>5.8</v>
      </c>
    </row>
    <row r="53" spans="2:11" x14ac:dyDescent="0.25">
      <c r="B53" s="53"/>
      <c r="C53" s="53"/>
      <c r="F53" s="53"/>
      <c r="G53" s="53"/>
      <c r="H53" s="51">
        <v>28</v>
      </c>
      <c r="I53" s="65">
        <v>5.0999999999999996</v>
      </c>
      <c r="J53" s="53">
        <v>28</v>
      </c>
      <c r="K53" s="63">
        <v>5.3</v>
      </c>
    </row>
    <row r="54" spans="2:11" x14ac:dyDescent="0.25">
      <c r="B54" s="53"/>
      <c r="C54" s="53"/>
      <c r="F54" s="53"/>
      <c r="G54" s="53"/>
      <c r="H54" s="51">
        <v>29</v>
      </c>
      <c r="I54" s="65">
        <v>4.8</v>
      </c>
      <c r="J54" s="53">
        <v>29</v>
      </c>
      <c r="K54" s="63">
        <v>5.0999999999999996</v>
      </c>
    </row>
    <row r="55" spans="2:11" x14ac:dyDescent="0.25">
      <c r="B55" s="53"/>
      <c r="C55" s="53"/>
      <c r="F55" s="53"/>
      <c r="G55" s="53"/>
      <c r="H55" s="51">
        <v>30</v>
      </c>
      <c r="I55" s="65">
        <v>4.7</v>
      </c>
      <c r="J55" s="53">
        <v>30</v>
      </c>
      <c r="K55" s="63">
        <v>5</v>
      </c>
    </row>
    <row r="56" spans="2:11" x14ac:dyDescent="0.25">
      <c r="B56" s="53"/>
      <c r="C56" s="53"/>
      <c r="F56" s="53"/>
      <c r="G56" s="53"/>
      <c r="H56" s="51">
        <v>31</v>
      </c>
      <c r="I56" s="65">
        <v>4.9000000000000004</v>
      </c>
      <c r="J56" s="53">
        <v>31</v>
      </c>
      <c r="K56" s="63">
        <v>5.0999999999999996</v>
      </c>
    </row>
    <row r="57" spans="2:11" x14ac:dyDescent="0.25">
      <c r="B57" s="53"/>
      <c r="C57" s="53"/>
      <c r="F57" s="53"/>
      <c r="G57" s="53"/>
      <c r="H57" s="51">
        <v>32</v>
      </c>
      <c r="I57" s="65">
        <v>5.3</v>
      </c>
      <c r="J57" s="53">
        <v>32</v>
      </c>
      <c r="K57" s="63">
        <v>5</v>
      </c>
    </row>
    <row r="58" spans="2:11" x14ac:dyDescent="0.25">
      <c r="B58" s="53"/>
      <c r="C58" s="53"/>
      <c r="F58" s="53"/>
      <c r="G58" s="53"/>
      <c r="H58" s="51">
        <v>33</v>
      </c>
      <c r="I58" s="65">
        <v>5.6</v>
      </c>
      <c r="J58" s="53">
        <v>33</v>
      </c>
      <c r="K58" s="63">
        <v>5</v>
      </c>
    </row>
    <row r="59" spans="2:11" x14ac:dyDescent="0.25">
      <c r="B59" s="53"/>
      <c r="C59" s="53"/>
      <c r="F59" s="53"/>
      <c r="G59" s="53"/>
      <c r="H59" s="51">
        <v>34</v>
      </c>
      <c r="I59" s="65">
        <v>5.0999999999999996</v>
      </c>
      <c r="J59" s="53">
        <v>34</v>
      </c>
      <c r="K59" s="63">
        <v>4.7</v>
      </c>
    </row>
    <row r="60" spans="2:11" x14ac:dyDescent="0.25">
      <c r="B60" s="53"/>
      <c r="C60" s="53"/>
      <c r="F60" s="53"/>
      <c r="G60" s="53"/>
      <c r="H60" s="51">
        <v>35</v>
      </c>
      <c r="I60" s="65">
        <v>5.3</v>
      </c>
      <c r="J60" s="53">
        <v>35</v>
      </c>
      <c r="K60" s="63">
        <v>4.5999999999999996</v>
      </c>
    </row>
    <row r="61" spans="2:11" x14ac:dyDescent="0.25">
      <c r="B61" s="53"/>
      <c r="C61" s="53"/>
      <c r="F61" s="53"/>
      <c r="G61" s="53"/>
      <c r="H61" s="51">
        <v>36</v>
      </c>
      <c r="I61" s="65">
        <v>4.7</v>
      </c>
      <c r="J61" s="53">
        <v>36</v>
      </c>
      <c r="K61" s="63">
        <v>4.5</v>
      </c>
    </row>
    <row r="62" spans="2:11" x14ac:dyDescent="0.25">
      <c r="B62" s="53"/>
      <c r="C62" s="53"/>
      <c r="F62" s="53"/>
      <c r="G62" s="53"/>
      <c r="H62" s="51">
        <v>37</v>
      </c>
      <c r="I62" s="65">
        <v>4.3</v>
      </c>
      <c r="J62" s="53">
        <v>37</v>
      </c>
      <c r="K62" s="63">
        <v>4.5999999999999996</v>
      </c>
    </row>
    <row r="63" spans="2:11" x14ac:dyDescent="0.25">
      <c r="B63" s="53"/>
      <c r="C63" s="53"/>
      <c r="F63" s="53"/>
      <c r="G63" s="53"/>
      <c r="H63" s="51">
        <v>38</v>
      </c>
      <c r="I63" s="65">
        <v>4.7</v>
      </c>
      <c r="J63" s="53">
        <v>38</v>
      </c>
      <c r="K63" s="63">
        <v>5.7</v>
      </c>
    </row>
    <row r="64" spans="2:11" x14ac:dyDescent="0.25">
      <c r="B64" s="53"/>
      <c r="C64" s="53"/>
      <c r="F64" s="53"/>
      <c r="G64" s="53"/>
      <c r="H64" s="51">
        <v>39</v>
      </c>
      <c r="I64" s="65">
        <v>5.4</v>
      </c>
      <c r="J64" s="53">
        <v>39</v>
      </c>
      <c r="K64" s="63">
        <v>7.5</v>
      </c>
    </row>
    <row r="65" spans="1:11" x14ac:dyDescent="0.25">
      <c r="B65" s="53"/>
      <c r="C65" s="53"/>
      <c r="F65" s="53"/>
      <c r="G65" s="53"/>
      <c r="H65" s="51">
        <v>40</v>
      </c>
      <c r="I65" s="65">
        <v>5.6</v>
      </c>
      <c r="J65" s="53">
        <v>40</v>
      </c>
      <c r="K65" s="63">
        <v>7.9</v>
      </c>
    </row>
    <row r="66" spans="1:11" x14ac:dyDescent="0.25">
      <c r="B66" s="53"/>
      <c r="C66" s="53"/>
      <c r="D66" s="1"/>
      <c r="E66" s="1"/>
      <c r="F66" s="53"/>
      <c r="G66" s="53"/>
      <c r="H66" s="51"/>
      <c r="J66" s="53"/>
      <c r="K66" s="53"/>
    </row>
    <row r="67" spans="1:11" x14ac:dyDescent="0.25">
      <c r="A67" s="51" t="s">
        <v>55</v>
      </c>
      <c r="B67" s="53"/>
      <c r="C67" s="53">
        <v>1</v>
      </c>
      <c r="E67" s="1">
        <v>1</v>
      </c>
      <c r="F67" s="53"/>
      <c r="G67" s="53">
        <v>1</v>
      </c>
      <c r="I67" s="1">
        <v>1</v>
      </c>
      <c r="J67" s="53"/>
      <c r="K67" s="53">
        <v>1</v>
      </c>
    </row>
    <row r="68" spans="1:11" x14ac:dyDescent="0.25">
      <c r="A68" s="51" t="s">
        <v>38</v>
      </c>
      <c r="B68" s="53"/>
      <c r="C68" s="53">
        <v>0.9</v>
      </c>
      <c r="E68" s="1">
        <v>0.9</v>
      </c>
      <c r="F68" s="53"/>
      <c r="G68" s="53">
        <v>0.9</v>
      </c>
      <c r="I68" s="1">
        <v>0.9</v>
      </c>
      <c r="J68" s="53"/>
      <c r="K68" s="53">
        <v>0.9</v>
      </c>
    </row>
    <row r="69" spans="1:11" x14ac:dyDescent="0.25">
      <c r="A69" s="51" t="s">
        <v>40</v>
      </c>
      <c r="B69" s="53"/>
      <c r="C69" s="53">
        <v>1.05</v>
      </c>
      <c r="E69" s="1">
        <v>1.05</v>
      </c>
      <c r="F69" s="53"/>
      <c r="G69" s="53">
        <v>1.05</v>
      </c>
      <c r="I69" s="1">
        <v>1.05</v>
      </c>
      <c r="J69" s="53"/>
      <c r="K69" s="53">
        <v>1.05</v>
      </c>
    </row>
    <row r="70" spans="1:11" x14ac:dyDescent="0.25">
      <c r="B70" s="1" t="s">
        <v>41</v>
      </c>
    </row>
    <row r="71" spans="1:11" x14ac:dyDescent="0.25">
      <c r="B71" s="1" t="s">
        <v>42</v>
      </c>
    </row>
    <row r="72" spans="1:11" x14ac:dyDescent="0.25">
      <c r="B72" s="1" t="s">
        <v>43</v>
      </c>
    </row>
    <row r="73" spans="1:11" x14ac:dyDescent="0.25">
      <c r="G73" s="52" t="s">
        <v>57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E9E9-90A5-4BBD-9181-A0EAD03CE9BF}">
  <sheetPr>
    <pageSetUpPr fitToPage="1"/>
  </sheetPr>
  <dimension ref="A1:B89"/>
  <sheetViews>
    <sheetView workbookViewId="0">
      <selection sqref="A1:G1"/>
    </sheetView>
  </sheetViews>
  <sheetFormatPr defaultColWidth="9.140625" defaultRowHeight="15" x14ac:dyDescent="0.25"/>
  <cols>
    <col min="1" max="1" width="8.28515625" style="1" bestFit="1" customWidth="1"/>
    <col min="2" max="2" width="255.7109375" style="66" bestFit="1" customWidth="1"/>
    <col min="3" max="16384" width="9.140625" style="1"/>
  </cols>
  <sheetData>
    <row r="1" spans="1:2" x14ac:dyDescent="0.25">
      <c r="A1" s="1" t="s">
        <v>60</v>
      </c>
      <c r="B1" s="66">
        <f>IF(Uncertainty!B9&lt;='Sensor Data'!B13, 'Sensor Data'!C13, IF(Uncertainty!B9&lt;='Sensor Data'!B14, 'Sensor Data'!C14, IF(Uncertainty!B9&lt;='Sensor Data'!B15,'Sensor Data'!C15,10)))</f>
        <v>1.25</v>
      </c>
    </row>
    <row r="2" spans="1:2" x14ac:dyDescent="0.25">
      <c r="A2" s="1" t="s">
        <v>81</v>
      </c>
      <c r="B2" s="66">
        <f>IF(Uncertainty!B9&lt;='Sensor Data'!D13, 'Sensor Data'!E13, IF(Uncertainty!B9&lt;='Sensor Data'!D14, 'Sensor Data'!E14, IF(Uncertainty!B9&lt;='Sensor Data'!D15,'Sensor Data'!E15,IF(Uncertainty!B9&lt;='Sensor Data'!D16,'Sensor Data'!E16,10))))</f>
        <v>1.1499999999999999</v>
      </c>
    </row>
    <row r="3" spans="1:2" x14ac:dyDescent="0.25">
      <c r="A3" s="1" t="s">
        <v>82</v>
      </c>
      <c r="B3" s="66">
        <f>IF(Uncertainty!B9&lt;='Sensor Data'!F13, 'Sensor Data'!G13, IF(Uncertainty!B9&lt;='Sensor Data'!F14, 'Sensor Data'!G14, IF(Uncertainty!B9&lt;='Sensor Data'!F15,'Sensor Data'!G15,IF(Uncertainty!B9&lt;='Sensor Data'!F16,'Sensor Data'!G16,IF(Uncertainty!B9&lt;='Sensor Data'!F17,'Sensor Data'!G17,10)))))</f>
        <v>1.1499999999999999</v>
      </c>
    </row>
    <row r="4" spans="1:2" x14ac:dyDescent="0.25">
      <c r="A4" s="1" t="s">
        <v>83</v>
      </c>
      <c r="B4" s="66">
        <f>IF(Uncertainty!B9&lt;='Sensor Data'!H13, 'Sensor Data'!I13, IF(Uncertainty!B9&lt;='Sensor Data'!H14, 'Sensor Data'!I14, IF(Uncertainty!B9&lt;='Sensor Data'!H15,'Sensor Data'!I15,IF(Uncertainty!B9&lt;='Sensor Data'!H16,'Sensor Data'!I16,10))))</f>
        <v>1.25</v>
      </c>
    </row>
    <row r="5" spans="1:2" x14ac:dyDescent="0.25">
      <c r="A5" s="1" t="s">
        <v>84</v>
      </c>
      <c r="B5" s="66">
        <f>IF(Uncertainty!B9&lt;='Sensor Data'!J13, 'Sensor Data'!K13, IF(Uncertainty!B9&lt;='Sensor Data'!J14, 'Sensor Data'!K14, IF(Uncertainty!B9&lt;='Sensor Data'!J15,'Sensor Data'!K15,IF(Uncertainty!B9&lt;='Sensor Data'!J16,'Sensor Data'!K16,10))))</f>
        <v>1.25</v>
      </c>
    </row>
    <row r="7" spans="1:2" x14ac:dyDescent="0.25">
      <c r="A7" s="1" t="s">
        <v>61</v>
      </c>
      <c r="B7" s="66">
        <f>IF('Sensor Data'!C67&lt;='Sensor Data'!B13, 'Sensor Data'!C13, IF('Sensor Data'!C67&lt;='Sensor Data'!B14, 'Sensor Data'!C14, IF('Sensor Data'!C67&lt;='Sensor Data'!B15,'Sensor Data'!C15,10)))</f>
        <v>1.25</v>
      </c>
    </row>
    <row r="8" spans="1:2" x14ac:dyDescent="0.25">
      <c r="A8" s="1" t="s">
        <v>81</v>
      </c>
      <c r="B8" s="66">
        <f>IF('Sensor Data'!E67&lt;='Sensor Data'!D13, 'Sensor Data'!E13, IF('Sensor Data'!E67&lt;='Sensor Data'!D14, 'Sensor Data'!E14, IF('Sensor Data'!E67&lt;='Sensor Data'!D15,'Sensor Data'!E15,IF('Sensor Data'!E67&lt;='Sensor Data'!D16,'Sensor Data'!E16,10))))</f>
        <v>1.1499999999999999</v>
      </c>
    </row>
    <row r="9" spans="1:2" x14ac:dyDescent="0.25">
      <c r="A9" s="1" t="s">
        <v>82</v>
      </c>
      <c r="B9" s="66">
        <f>IF('Sensor Data'!G67&lt;='Sensor Data'!F13, 'Sensor Data'!G13, IF('Sensor Data'!G67&lt;='Sensor Data'!F14, 'Sensor Data'!G14, IF('Sensor Data'!G67&lt;='Sensor Data'!F15,'Sensor Data'!G15,IF('Sensor Data'!G67&lt;='Sensor Data'!F16,'Sensor Data'!G16,IF('Sensor Data'!G67&lt;='Sensor Data'!F17,'Sensor Data'!G17,10)))))</f>
        <v>1.1499999999999999</v>
      </c>
    </row>
    <row r="10" spans="1:2" x14ac:dyDescent="0.25">
      <c r="A10" s="1" t="s">
        <v>83</v>
      </c>
      <c r="B10" s="66">
        <f>IF('Sensor Data'!I67&lt;='Sensor Data'!H13, 'Sensor Data'!I13, IF('Sensor Data'!I67&lt;='Sensor Data'!H14, 'Sensor Data'!I14, IF('Sensor Data'!I67&lt;='Sensor Data'!H15,'Sensor Data'!I15,IF('Sensor Data'!I67&lt;='Sensor Data'!H16,'Sensor Data'!I16,10))))</f>
        <v>1.25</v>
      </c>
    </row>
    <row r="11" spans="1:2" x14ac:dyDescent="0.25">
      <c r="A11" s="1" t="s">
        <v>84</v>
      </c>
      <c r="B11" s="66">
        <f>IF('Sensor Data'!K67&lt;='Sensor Data'!J13, 'Sensor Data'!K13, IF('Sensor Data'!K67&lt;='Sensor Data'!J14, 'Sensor Data'!K14, IF('Sensor Data'!K67&lt;='Sensor Data'!J15,'Sensor Data'!K15,IF('Sensor Data'!K67&lt;='Sensor Data'!J16,'Sensor Data'!K16,10))))</f>
        <v>1.25</v>
      </c>
    </row>
    <row r="13" spans="1:2" x14ac:dyDescent="0.25">
      <c r="A13" s="1" t="s">
        <v>62</v>
      </c>
      <c r="B13" s="66">
        <f>IF(Uncertainty!B8=0, 'Sensor Data'!C68, 0.9+(ROUNDUP((ABS(0-Uncertainty!B8)/5),0)*0.46))</f>
        <v>0.9</v>
      </c>
    </row>
    <row r="14" spans="1:2" x14ac:dyDescent="0.25">
      <c r="A14" s="1" t="s">
        <v>81</v>
      </c>
      <c r="B14" s="66">
        <f>IF(Uncertainty!B8=0, 'Sensor Data'!E68, 0.9+(ROUNDUP((ABS(0-Uncertainty!B8)/5),0)*0.46))</f>
        <v>0.9</v>
      </c>
    </row>
    <row r="15" spans="1:2" x14ac:dyDescent="0.25">
      <c r="A15" s="1" t="s">
        <v>82</v>
      </c>
      <c r="B15" s="66">
        <f>IF(Uncertainty!B8=0, 'Sensor Data'!G68, 0.9+(ROUNDUP((ABS(0-Uncertainty!B8)/5),0)*0.46))</f>
        <v>0.9</v>
      </c>
    </row>
    <row r="16" spans="1:2" x14ac:dyDescent="0.25">
      <c r="A16" s="1" t="s">
        <v>83</v>
      </c>
      <c r="B16" s="66">
        <f>IF(Uncertainty!B8=0, 'Sensor Data'!I68, 0.9+(ROUNDUP((ABS(0-Uncertainty!B8)/5),0)*0.46))</f>
        <v>0.9</v>
      </c>
    </row>
    <row r="17" spans="1:2" x14ac:dyDescent="0.25">
      <c r="A17" s="1" t="s">
        <v>84</v>
      </c>
      <c r="B17" s="66">
        <f>IF(Uncertainty!B8=0, 'Sensor Data'!K68, 0.9+(ROUNDUP((ABS(0-Uncertainty!B8)/5),0)*0.46))</f>
        <v>0.9</v>
      </c>
    </row>
    <row r="19" spans="1:2" x14ac:dyDescent="0.25">
      <c r="A19" s="1" t="s">
        <v>63</v>
      </c>
      <c r="B19" s="66">
        <f>2*(('Sensor Data'!C69-1)/('Sensor Data'!C69+1))*((Uncertainty!B6-1)/(Uncertainty!B6+1))*100</f>
        <v>0.54200542005420105</v>
      </c>
    </row>
    <row r="20" spans="1:2" x14ac:dyDescent="0.25">
      <c r="A20" s="1" t="s">
        <v>81</v>
      </c>
      <c r="B20" s="66">
        <f>2*(('Sensor Data'!E69-1)/('Sensor Data'!E69+1))*((Uncertainty!B6-1)/(Uncertainty!B6+1))*101</f>
        <v>0.54742547425474308</v>
      </c>
    </row>
    <row r="21" spans="1:2" x14ac:dyDescent="0.25">
      <c r="A21" s="1" t="s">
        <v>82</v>
      </c>
      <c r="B21" s="66">
        <f>2*(('Sensor Data'!G69-1)/('Sensor Data'!G69+1))*((Uncertainty!B6-1)/(Uncertainty!B6+1))*102</f>
        <v>0.55284552845528512</v>
      </c>
    </row>
    <row r="22" spans="1:2" x14ac:dyDescent="0.25">
      <c r="A22" s="1" t="s">
        <v>83</v>
      </c>
      <c r="B22" s="66">
        <f>2*(('Sensor Data'!I69-1)/('Sensor Data'!I69+1))*((Uncertainty!B6-1)/(Uncertainty!B6+1))*103</f>
        <v>0.55826558265582704</v>
      </c>
    </row>
    <row r="23" spans="1:2" x14ac:dyDescent="0.25">
      <c r="A23" s="1" t="s">
        <v>84</v>
      </c>
      <c r="B23" s="66">
        <f>2*(('Sensor Data'!K69-1)/('Sensor Data'!K69+1))*((Uncertainty!B6-1)/(Uncertainty!B6+1))*104</f>
        <v>0.56368563685636908</v>
      </c>
    </row>
    <row r="25" spans="1:2" x14ac:dyDescent="0.25">
      <c r="A25" s="1" t="s">
        <v>64</v>
      </c>
      <c r="B25" s="66">
        <f>IF(Uncertainty!B8=0,'Sensor Data'!B21,'Sensor Data'!C21)</f>
        <v>0.5</v>
      </c>
    </row>
    <row r="26" spans="1:2" x14ac:dyDescent="0.25">
      <c r="A26" s="1" t="s">
        <v>81</v>
      </c>
      <c r="B26" s="66">
        <f>IF(Uncertainty!B8=0,'Sensor Data'!D21,'Sensor Data'!E21)</f>
        <v>0.5</v>
      </c>
    </row>
    <row r="27" spans="1:2" x14ac:dyDescent="0.25">
      <c r="A27" s="1" t="s">
        <v>82</v>
      </c>
      <c r="B27" s="66">
        <f>IF(Uncertainty!B8=0,'Sensor Data'!F21,'Sensor Data'!G21)</f>
        <v>0.5</v>
      </c>
    </row>
    <row r="28" spans="1:2" x14ac:dyDescent="0.25">
      <c r="A28" s="1" t="s">
        <v>83</v>
      </c>
      <c r="B28" s="66">
        <f>IF(Uncertainty!B8=0,'Sensor Data'!H21,'Sensor Data'!I21)</f>
        <v>0.5</v>
      </c>
    </row>
    <row r="29" spans="1:2" x14ac:dyDescent="0.25">
      <c r="A29" s="1" t="s">
        <v>84</v>
      </c>
      <c r="B29" s="66">
        <f>IF(Uncertainty!B8=0,'Sensor Data'!J21,'Sensor Data'!K21)</f>
        <v>0.5</v>
      </c>
    </row>
    <row r="31" spans="1:2" x14ac:dyDescent="0.25">
      <c r="A31" s="1" t="s">
        <v>65</v>
      </c>
      <c r="B31" s="66">
        <f>IF(Uncertainty!B13="PULSE",(('Sensor Data'!C19*(1*10^-9)/(10^(Uncertainty!B8/10)/1000))*100),(('Sensor Data'!C20*(1*10^-9)/(10^(Uncertainty!B8/10)/1000))*100))</f>
        <v>9.9999999999999991E-5</v>
      </c>
    </row>
    <row r="32" spans="1:2" x14ac:dyDescent="0.25">
      <c r="A32" s="1" t="s">
        <v>81</v>
      </c>
      <c r="B32" s="66">
        <f>IF(Uncertainty!B13="PULSE",(('Sensor Data'!E19*(1*10^-9)/(10^(Uncertainty!B8/10)/1000))*100),(('Sensor Data'!E20*(1*10^-9)/(10^(Uncertainty!B8/10)/1000))*100))</f>
        <v>0.04</v>
      </c>
    </row>
    <row r="33" spans="1:2" x14ac:dyDescent="0.25">
      <c r="A33" s="1" t="s">
        <v>82</v>
      </c>
      <c r="B33" s="66">
        <f>IF(Uncertainty!B13="PULSE",(('Sensor Data'!G19*(1*10^-9)/(10^(Uncertainty!B8/10)/1000))*100),(('Sensor Data'!G20*(1*10^-9)/(10^(Uncertainty!B8/10)/1000))*100))</f>
        <v>5.0000000000000001E-4</v>
      </c>
    </row>
    <row r="34" spans="1:2" x14ac:dyDescent="0.25">
      <c r="A34" s="1" t="s">
        <v>83</v>
      </c>
      <c r="B34" s="66">
        <f>IF(Uncertainty!B13="PULSE",(('Sensor Data'!I19*(1*10^-9)/(10^(Uncertainty!B8/10)/1000))*100),(('Sensor Data'!I20*(1*10^-9)/(10^(Uncertainty!B8/10)/1000))*100))</f>
        <v>0.04</v>
      </c>
    </row>
    <row r="35" spans="1:2" x14ac:dyDescent="0.25">
      <c r="A35" s="1" t="s">
        <v>84</v>
      </c>
      <c r="B35" s="66">
        <f>IF(Uncertainty!B13="PULSE",(('Sensor Data'!K19*(1*10^-9)/(10^(Uncertainty!B8/10)/1000))*100),(('Sensor Data'!K20*(1*10^-9)/(10^(Uncertainty!B8/10)/1000))*100))</f>
        <v>5.0000000000000001E-4</v>
      </c>
    </row>
    <row r="37" spans="1:2" x14ac:dyDescent="0.25">
      <c r="A37" s="1" t="s">
        <v>66</v>
      </c>
      <c r="B37" s="66">
        <f>IFERROR(VLOOKUP(Uncertainty!B9,'Sensor Data'!B24:C30,2,FALSE),IF(Uncertainty!B9&lt;'Sensor Data'!B24,'Sensor Data'!C24,(Uncertainty!E12-Uncertainty!E11)*(Uncertainty!B9-Uncertainty!D8)/(Uncertainty!D9-Uncertainty!D8)+Uncertainty!E11))</f>
        <v>1.4</v>
      </c>
    </row>
    <row r="38" spans="1:2" x14ac:dyDescent="0.25">
      <c r="A38" s="1" t="s">
        <v>81</v>
      </c>
      <c r="B38" s="66">
        <f>IFERROR(VLOOKUP(Uncertainty!B9,'Sensor Data'!D24:E42,2,FALSE),IF(Uncertainty!B9&lt;'Sensor Data'!D24,'Sensor Data'!E24,(Uncertainty!E12-Uncertainty!E11)*(Uncertainty!B9-Uncertainty!D8)/(Uncertainty!D9-Uncertainty!D8)+Uncertainty!E11))</f>
        <v>1.4</v>
      </c>
    </row>
    <row r="39" spans="1:2" x14ac:dyDescent="0.25">
      <c r="A39" s="1" t="s">
        <v>82</v>
      </c>
      <c r="B39" s="66">
        <f>IFERROR(VLOOKUP(Uncertainty!B9,'Sensor Data'!F24:G42,2,FALSE),IF(Uncertainty!B9&lt;'Sensor Data'!F24,'Sensor Data'!G24,(Uncertainty!E12-Uncertainty!E11)*(Uncertainty!B9-Uncertainty!D8)/(Uncertainty!D9-Uncertainty!D8)+Uncertainty!E11))</f>
        <v>1.1000000000000001</v>
      </c>
    </row>
    <row r="40" spans="1:2" x14ac:dyDescent="0.25">
      <c r="A40" s="1" t="s">
        <v>83</v>
      </c>
      <c r="B40" s="66">
        <f>IFERROR(VLOOKUP(Uncertainty!B9,'Sensor Data'!H24:I65,2,FALSE),IF(Uncertainty!B9&lt;'Sensor Data'!H24,'Sensor Data'!I24,(Uncertainty!E12-Uncertainty!E11)*(Uncertainty!B9-Uncertainty!D8)/(Uncertainty!D9-Uncertainty!D8)+Uncertainty!E11))</f>
        <v>1.3</v>
      </c>
    </row>
    <row r="41" spans="1:2" x14ac:dyDescent="0.25">
      <c r="A41" s="1" t="s">
        <v>84</v>
      </c>
      <c r="B41" s="66">
        <f>IFERROR(VLOOKUP(Uncertainty!B9,'Sensor Data'!J24:K65,2,FALSE),IF(Uncertainty!B9&lt;'Sensor Data'!J24,'Sensor Data'!K24,(Uncertainty!E12-Uncertainty!E11)*(Uncertainty!B9-Uncertainty!D8)/(Uncertainty!D9-Uncertainty!D8)+Uncertainty!E11))</f>
        <v>1.1000000000000001</v>
      </c>
    </row>
    <row r="43" spans="1:2" x14ac:dyDescent="0.25">
      <c r="A43" s="1" t="s">
        <v>77</v>
      </c>
      <c r="B43" s="66">
        <f>IF(Uncertainty!B13="CW",'Sensor Data'!C10,'Sensor Data'!C7)</f>
        <v>-60</v>
      </c>
    </row>
    <row r="44" spans="1:2" x14ac:dyDescent="0.25">
      <c r="A44" s="1" t="s">
        <v>81</v>
      </c>
      <c r="B44" s="66">
        <f>IF(Uncertainty!B13="CW",'Sensor Data'!E10,'Sensor Data'!E7)</f>
        <v>-34</v>
      </c>
    </row>
    <row r="45" spans="1:2" x14ac:dyDescent="0.25">
      <c r="A45" s="1" t="s">
        <v>82</v>
      </c>
      <c r="B45" s="66">
        <f>IF(Uncertainty!B13="CW",'Sensor Data'!G10,'Sensor Data'!G7)</f>
        <v>-50</v>
      </c>
    </row>
    <row r="46" spans="1:2" x14ac:dyDescent="0.25">
      <c r="A46" s="1" t="s">
        <v>83</v>
      </c>
      <c r="B46" s="66">
        <f>IF(Uncertainty!B13="CW",'Sensor Data'!I10,'Sensor Data'!I7)</f>
        <v>-34</v>
      </c>
    </row>
    <row r="47" spans="1:2" x14ac:dyDescent="0.25">
      <c r="A47" s="1" t="s">
        <v>84</v>
      </c>
      <c r="B47" s="66">
        <f>IF(Uncertainty!B13="CW",'Sensor Data'!K10,'Sensor Data'!K7)</f>
        <v>-50</v>
      </c>
    </row>
    <row r="49" spans="1:2" x14ac:dyDescent="0.25">
      <c r="A49" s="1" t="s">
        <v>67</v>
      </c>
      <c r="B49" s="66">
        <f>VLOOKUP(Uncertainty!B9,'Sensor Data'!B24:C30,1,TRUE)</f>
        <v>1</v>
      </c>
    </row>
    <row r="50" spans="1:2" x14ac:dyDescent="0.25">
      <c r="A50" s="1" t="s">
        <v>81</v>
      </c>
      <c r="B50" s="66">
        <f>VLOOKUP(Uncertainty!B9,'Sensor Data'!D24:E42,1,TRUE)</f>
        <v>1</v>
      </c>
    </row>
    <row r="51" spans="1:2" x14ac:dyDescent="0.25">
      <c r="A51" s="1" t="s">
        <v>82</v>
      </c>
      <c r="B51" s="66">
        <f>VLOOKUP(Uncertainty!B9,'Sensor Data'!F24:G42,1,TRUE)</f>
        <v>1</v>
      </c>
    </row>
    <row r="52" spans="1:2" x14ac:dyDescent="0.25">
      <c r="A52" s="1" t="s">
        <v>83</v>
      </c>
      <c r="B52" s="66">
        <f>VLOOKUP(Uncertainty!B9,'Sensor Data'!H24:I65,1,TRUE)</f>
        <v>1</v>
      </c>
    </row>
    <row r="53" spans="1:2" x14ac:dyDescent="0.25">
      <c r="A53" s="1" t="s">
        <v>84</v>
      </c>
      <c r="B53" s="66">
        <f>VLOOKUP(Uncertainty!B9,'Sensor Data'!J24:K65,1,TRUE)</f>
        <v>1</v>
      </c>
    </row>
    <row r="55" spans="1:2" x14ac:dyDescent="0.25">
      <c r="A55" s="1" t="s">
        <v>68</v>
      </c>
      <c r="B55" s="66">
        <f>INDEX('Sensor Data'!B24:B30,Uncertainty!E8+1)</f>
        <v>2</v>
      </c>
    </row>
    <row r="56" spans="1:2" x14ac:dyDescent="0.25">
      <c r="A56" s="1" t="s">
        <v>81</v>
      </c>
      <c r="B56" s="66">
        <f>INDEX('Sensor Data'!D24:D42,Uncertainty!E8+1)</f>
        <v>2</v>
      </c>
    </row>
    <row r="57" spans="1:2" x14ac:dyDescent="0.25">
      <c r="A57" s="1" t="s">
        <v>82</v>
      </c>
      <c r="B57" s="66">
        <f>INDEX('Sensor Data'!F24:F42,Uncertainty!E8+1)</f>
        <v>2</v>
      </c>
    </row>
    <row r="58" spans="1:2" x14ac:dyDescent="0.25">
      <c r="A58" s="1" t="s">
        <v>83</v>
      </c>
      <c r="B58" s="66">
        <f>INDEX('Sensor Data'!H24:H65,Uncertainty!E8+1)</f>
        <v>2</v>
      </c>
    </row>
    <row r="59" spans="1:2" x14ac:dyDescent="0.25">
      <c r="A59" s="1" t="s">
        <v>84</v>
      </c>
      <c r="B59" s="66">
        <f>INDEX('Sensor Data'!J24:J65,Uncertainty!E8+1)</f>
        <v>2</v>
      </c>
    </row>
    <row r="61" spans="1:2" x14ac:dyDescent="0.25">
      <c r="A61" s="1" t="s">
        <v>69</v>
      </c>
      <c r="B61" s="66">
        <f>VLOOKUP(Uncertainty!B9,'Sensor Data'!B24:C30,2,TRUE)</f>
        <v>1.4</v>
      </c>
    </row>
    <row r="62" spans="1:2" x14ac:dyDescent="0.25">
      <c r="A62" s="1" t="s">
        <v>81</v>
      </c>
      <c r="B62" s="66">
        <f>VLOOKUP(Uncertainty!B9,'Sensor Data'!D24:E42,2,TRUE)</f>
        <v>1.4</v>
      </c>
    </row>
    <row r="63" spans="1:2" x14ac:dyDescent="0.25">
      <c r="A63" s="1" t="s">
        <v>82</v>
      </c>
      <c r="B63" s="66">
        <f>VLOOKUP(Uncertainty!B9,'Sensor Data'!F24:G42,2,TRUE)</f>
        <v>1.1000000000000001</v>
      </c>
    </row>
    <row r="64" spans="1:2" x14ac:dyDescent="0.25">
      <c r="A64" s="1" t="s">
        <v>83</v>
      </c>
      <c r="B64" s="66">
        <f>VLOOKUP(Uncertainty!B9,'Sensor Data'!H24:I65,2,TRUE)</f>
        <v>1.3</v>
      </c>
    </row>
    <row r="65" spans="1:2" x14ac:dyDescent="0.25">
      <c r="A65" s="1" t="s">
        <v>84</v>
      </c>
      <c r="B65" s="66">
        <f>VLOOKUP(Uncertainty!B9,'Sensor Data'!J24:K65,2,TRUE)</f>
        <v>1.1000000000000001</v>
      </c>
    </row>
    <row r="67" spans="1:2" x14ac:dyDescent="0.25">
      <c r="A67" s="1" t="s">
        <v>70</v>
      </c>
      <c r="B67" s="66">
        <f>INDEX('Sensor Data'!C24:C30,Uncertainty!F11+1)</f>
        <v>1.4</v>
      </c>
    </row>
    <row r="68" spans="1:2" x14ac:dyDescent="0.25">
      <c r="A68" s="1" t="s">
        <v>81</v>
      </c>
      <c r="B68" s="66">
        <f>INDEX('Sensor Data'!E24:E42,Uncertainty!F11+1)</f>
        <v>1.4</v>
      </c>
    </row>
    <row r="69" spans="1:2" x14ac:dyDescent="0.25">
      <c r="A69" s="1" t="s">
        <v>82</v>
      </c>
      <c r="B69" s="66">
        <f>INDEX('Sensor Data'!G24:G42,Uncertainty!F11+1)</f>
        <v>1.5</v>
      </c>
    </row>
    <row r="70" spans="1:2" x14ac:dyDescent="0.25">
      <c r="A70" s="1" t="s">
        <v>83</v>
      </c>
      <c r="B70" s="66">
        <f>INDEX('Sensor Data'!I24:I65,Uncertainty!F11+1)</f>
        <v>1.3</v>
      </c>
    </row>
    <row r="71" spans="1:2" x14ac:dyDescent="0.25">
      <c r="A71" s="1" t="s">
        <v>84</v>
      </c>
      <c r="B71" s="66">
        <f>INDEX('Sensor Data'!K24:K65,Uncertainty!F11+1)</f>
        <v>1.2</v>
      </c>
    </row>
    <row r="73" spans="1:2" x14ac:dyDescent="0.25">
      <c r="A73" s="1" t="s">
        <v>71</v>
      </c>
      <c r="B73" s="66">
        <f>MATCH(Uncertainty!D8,'Sensor Data'!B24:B30,0)</f>
        <v>2</v>
      </c>
    </row>
    <row r="74" spans="1:2" x14ac:dyDescent="0.25">
      <c r="A74" s="1" t="s">
        <v>81</v>
      </c>
      <c r="B74" s="66">
        <f>MATCH(Uncertainty!D8,'Sensor Data'!D24:D42,0)</f>
        <v>2</v>
      </c>
    </row>
    <row r="75" spans="1:2" x14ac:dyDescent="0.25">
      <c r="A75" s="1" t="s">
        <v>82</v>
      </c>
      <c r="B75" s="66">
        <f>MATCH(Uncertainty!D8,'Sensor Data'!F24:F42,0)</f>
        <v>2</v>
      </c>
    </row>
    <row r="76" spans="1:2" x14ac:dyDescent="0.25">
      <c r="A76" s="1" t="s">
        <v>83</v>
      </c>
      <c r="B76" s="66">
        <f>MATCH(Uncertainty!D8,'Sensor Data'!H24:H65,0)</f>
        <v>2</v>
      </c>
    </row>
    <row r="77" spans="1:2" x14ac:dyDescent="0.25">
      <c r="A77" s="1" t="s">
        <v>84</v>
      </c>
      <c r="B77" s="66">
        <f>MATCH(Uncertainty!D8,'Sensor Data'!J24:J65,0)</f>
        <v>2</v>
      </c>
    </row>
    <row r="79" spans="1:2" x14ac:dyDescent="0.25">
      <c r="A79" s="1" t="s">
        <v>72</v>
      </c>
      <c r="B79" s="66">
        <f>MATCH(Uncertainty!D8,'Sensor Data'!B24:B30,0)</f>
        <v>2</v>
      </c>
    </row>
    <row r="80" spans="1:2" x14ac:dyDescent="0.25">
      <c r="A80" s="1" t="s">
        <v>81</v>
      </c>
      <c r="B80" s="66">
        <f>MATCH(Uncertainty!D8,'Sensor Data'!D24:D42,0)</f>
        <v>2</v>
      </c>
    </row>
    <row r="81" spans="1:2" x14ac:dyDescent="0.25">
      <c r="A81" s="1" t="s">
        <v>82</v>
      </c>
      <c r="B81" s="66">
        <f>MATCH(Uncertainty!D8,'Sensor Data'!F24:F42,0)</f>
        <v>2</v>
      </c>
    </row>
    <row r="82" spans="1:2" x14ac:dyDescent="0.25">
      <c r="A82" s="1" t="s">
        <v>83</v>
      </c>
      <c r="B82" s="66">
        <f>MATCH(Uncertainty!D8,'Sensor Data'!H24:H65,0)</f>
        <v>2</v>
      </c>
    </row>
    <row r="83" spans="1:2" x14ac:dyDescent="0.25">
      <c r="A83" s="1" t="s">
        <v>84</v>
      </c>
      <c r="B83" s="66">
        <f>MATCH(Uncertainty!D8,'Sensor Data'!J24:J65,0)</f>
        <v>2</v>
      </c>
    </row>
    <row r="85" spans="1:2" x14ac:dyDescent="0.25">
      <c r="A85" s="1" t="s">
        <v>79</v>
      </c>
      <c r="B85" s="66">
        <f>'Sensor Data'!C4</f>
        <v>6</v>
      </c>
    </row>
    <row r="86" spans="1:2" x14ac:dyDescent="0.25">
      <c r="A86" s="1" t="s">
        <v>81</v>
      </c>
      <c r="B86" s="66">
        <f>'Sensor Data'!E4</f>
        <v>18</v>
      </c>
    </row>
    <row r="87" spans="1:2" x14ac:dyDescent="0.25">
      <c r="A87" s="1" t="s">
        <v>82</v>
      </c>
      <c r="B87" s="66">
        <f>'Sensor Data'!G4</f>
        <v>18</v>
      </c>
    </row>
    <row r="88" spans="1:2" x14ac:dyDescent="0.25">
      <c r="A88" s="1" t="s">
        <v>83</v>
      </c>
      <c r="B88" s="66">
        <f>'Sensor Data'!I4</f>
        <v>40</v>
      </c>
    </row>
    <row r="89" spans="1:2" x14ac:dyDescent="0.25">
      <c r="A89" s="1" t="s">
        <v>84</v>
      </c>
      <c r="B89" s="66">
        <f>'Sensor Data'!K4</f>
        <v>40</v>
      </c>
    </row>
  </sheetData>
  <printOptions gridLines="1"/>
  <pageMargins left="0" right="0" top="0" bottom="0" header="0.3" footer="0.3"/>
  <pageSetup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BA1F7D6C-AC0A-4D91-B033-E82E177486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Uncertainty</vt:lpstr>
      <vt:lpstr>Sensor Data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Strickler</dc:creator>
  <cp:lastModifiedBy>Walt Strickler</cp:lastModifiedBy>
  <dcterms:created xsi:type="dcterms:W3CDTF">2018-04-25T16:40:38Z</dcterms:created>
  <dcterms:modified xsi:type="dcterms:W3CDTF">2019-12-13T16:29:53Z</dcterms:modified>
</cp:coreProperties>
</file>